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360" windowWidth="15075" windowHeight="4440"/>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hidden" r:id="rId8"/>
    <sheet name="CENSO (2)" sheetId="14" state="hidden" r:id="rId9"/>
  </sheets>
  <externalReferences>
    <externalReference r:id="rId10"/>
  </externalReferences>
  <definedNames>
    <definedName name="_xlnm.Print_Area" localSheetId="7">Datos!$B$4:$M$83</definedName>
    <definedName name="_xlnm.Print_Area" localSheetId="4">FFM!$A$1:$M$58</definedName>
    <definedName name="_xlnm.Print_Area" localSheetId="3">FGP!$B$2:$S$34</definedName>
    <definedName name="_xlnm.Print_Area" localSheetId="6">FOFIR!$A$1:$H$29</definedName>
  </definedNames>
  <calcPr calcId="152511"/>
</workbook>
</file>

<file path=xl/calcChain.xml><?xml version="1.0" encoding="utf-8"?>
<calcChain xmlns="http://schemas.openxmlformats.org/spreadsheetml/2006/main">
  <c r="C30" i="14" l="1"/>
  <c r="U113" i="13"/>
  <c r="T113" i="13"/>
  <c r="T110" i="13"/>
  <c r="R110" i="13"/>
  <c r="R113" i="13" s="1"/>
  <c r="Q110" i="13"/>
  <c r="Q113" i="13" s="1"/>
  <c r="O110" i="13"/>
  <c r="N110" i="13"/>
  <c r="P110" i="13" s="1"/>
  <c r="K110" i="13"/>
  <c r="I110" i="13"/>
  <c r="H110" i="13"/>
  <c r="G110" i="13"/>
  <c r="E110" i="13"/>
  <c r="D110" i="13"/>
  <c r="F110" i="13" s="1"/>
  <c r="V109" i="13"/>
  <c r="AA109" i="13" s="1"/>
  <c r="S109" i="13"/>
  <c r="P109" i="13"/>
  <c r="L109" i="13"/>
  <c r="M109" i="13" s="1"/>
  <c r="J109" i="13"/>
  <c r="I109" i="13"/>
  <c r="F109" i="13"/>
  <c r="V108" i="13"/>
  <c r="AA108" i="13" s="1"/>
  <c r="S108" i="13"/>
  <c r="W108" i="13" s="1"/>
  <c r="P108" i="13"/>
  <c r="L108" i="13"/>
  <c r="M108" i="13" s="1"/>
  <c r="J108" i="13"/>
  <c r="I108" i="13"/>
  <c r="F108" i="13"/>
  <c r="V107" i="13"/>
  <c r="S107" i="13"/>
  <c r="P107" i="13"/>
  <c r="M107" i="13"/>
  <c r="L107" i="13"/>
  <c r="I107" i="13"/>
  <c r="J107" i="13" s="1"/>
  <c r="F107" i="13"/>
  <c r="V106" i="13"/>
  <c r="AA106" i="13" s="1"/>
  <c r="S106" i="13"/>
  <c r="P106" i="13"/>
  <c r="M106" i="13"/>
  <c r="L106" i="13"/>
  <c r="I106" i="13"/>
  <c r="J106" i="13" s="1"/>
  <c r="F106" i="13"/>
  <c r="V105" i="13"/>
  <c r="AA105" i="13" s="1"/>
  <c r="S105" i="13"/>
  <c r="P105" i="13"/>
  <c r="L105" i="13"/>
  <c r="M105" i="13" s="1"/>
  <c r="J105" i="13"/>
  <c r="I105" i="13"/>
  <c r="F105" i="13"/>
  <c r="V104" i="13"/>
  <c r="AA104" i="13" s="1"/>
  <c r="S104" i="13"/>
  <c r="W104" i="13" s="1"/>
  <c r="P104" i="13"/>
  <c r="L104" i="13"/>
  <c r="M104" i="13" s="1"/>
  <c r="J104" i="13"/>
  <c r="I104" i="13"/>
  <c r="F104" i="13"/>
  <c r="V103" i="13"/>
  <c r="S103" i="13"/>
  <c r="P103" i="13"/>
  <c r="M103" i="13"/>
  <c r="L103" i="13"/>
  <c r="I103" i="13"/>
  <c r="J103" i="13" s="1"/>
  <c r="F103" i="13"/>
  <c r="V102" i="13"/>
  <c r="AA102" i="13" s="1"/>
  <c r="S102" i="13"/>
  <c r="P102" i="13"/>
  <c r="M102" i="13"/>
  <c r="L102" i="13"/>
  <c r="I102" i="13"/>
  <c r="J102" i="13" s="1"/>
  <c r="F102" i="13"/>
  <c r="V101" i="13"/>
  <c r="AA101" i="13" s="1"/>
  <c r="S101" i="13"/>
  <c r="P101" i="13"/>
  <c r="L101" i="13"/>
  <c r="M101" i="13" s="1"/>
  <c r="J101" i="13"/>
  <c r="I101" i="13"/>
  <c r="F101" i="13"/>
  <c r="V100" i="13"/>
  <c r="AA100" i="13" s="1"/>
  <c r="S100" i="13"/>
  <c r="W100" i="13" s="1"/>
  <c r="P100" i="13"/>
  <c r="L100" i="13"/>
  <c r="M100" i="13" s="1"/>
  <c r="J100" i="13"/>
  <c r="I100" i="13"/>
  <c r="F100" i="13"/>
  <c r="V99" i="13"/>
  <c r="S99" i="13"/>
  <c r="P99" i="13"/>
  <c r="M99" i="13"/>
  <c r="L99" i="13"/>
  <c r="I99" i="13"/>
  <c r="J99" i="13" s="1"/>
  <c r="F99" i="13"/>
  <c r="V98" i="13"/>
  <c r="AA98" i="13" s="1"/>
  <c r="S98" i="13"/>
  <c r="P98" i="13"/>
  <c r="M98" i="13"/>
  <c r="L98" i="13"/>
  <c r="I98" i="13"/>
  <c r="J98" i="13" s="1"/>
  <c r="F98" i="13"/>
  <c r="V97" i="13"/>
  <c r="AA97" i="13" s="1"/>
  <c r="S97" i="13"/>
  <c r="P97" i="13"/>
  <c r="L97" i="13"/>
  <c r="M97" i="13" s="1"/>
  <c r="J97" i="13"/>
  <c r="I97" i="13"/>
  <c r="F97" i="13"/>
  <c r="V96" i="13"/>
  <c r="AA96" i="13" s="1"/>
  <c r="S96" i="13"/>
  <c r="W96" i="13" s="1"/>
  <c r="P96" i="13"/>
  <c r="L96" i="13"/>
  <c r="M96" i="13" s="1"/>
  <c r="J96" i="13"/>
  <c r="I96" i="13"/>
  <c r="F96" i="13"/>
  <c r="V95" i="13"/>
  <c r="S95" i="13"/>
  <c r="P95" i="13"/>
  <c r="M95" i="13"/>
  <c r="L95" i="13"/>
  <c r="I95" i="13"/>
  <c r="J95" i="13" s="1"/>
  <c r="F95" i="13"/>
  <c r="V94" i="13"/>
  <c r="AA94" i="13" s="1"/>
  <c r="S94" i="13"/>
  <c r="P94" i="13"/>
  <c r="M94" i="13"/>
  <c r="L94" i="13"/>
  <c r="I94" i="13"/>
  <c r="J94" i="13" s="1"/>
  <c r="F94" i="13"/>
  <c r="V93" i="13"/>
  <c r="AA93" i="13" s="1"/>
  <c r="S93" i="13"/>
  <c r="P93" i="13"/>
  <c r="L93" i="13"/>
  <c r="M93" i="13" s="1"/>
  <c r="J93" i="13"/>
  <c r="I93" i="13"/>
  <c r="F93" i="13"/>
  <c r="V92" i="13"/>
  <c r="AA92" i="13" s="1"/>
  <c r="S92" i="13"/>
  <c r="W92" i="13" s="1"/>
  <c r="P92" i="13"/>
  <c r="L92" i="13"/>
  <c r="M92" i="13" s="1"/>
  <c r="J92" i="13"/>
  <c r="I92" i="13"/>
  <c r="F92" i="13"/>
  <c r="V91" i="13"/>
  <c r="S91" i="13"/>
  <c r="P91" i="13"/>
  <c r="M91" i="13"/>
  <c r="L91" i="13"/>
  <c r="I91" i="13"/>
  <c r="J91" i="13" s="1"/>
  <c r="F91" i="13"/>
  <c r="V90" i="13"/>
  <c r="AA90" i="13" s="1"/>
  <c r="S90" i="13"/>
  <c r="S110" i="13" s="1"/>
  <c r="P90" i="13"/>
  <c r="M90" i="13"/>
  <c r="L90" i="13"/>
  <c r="L110" i="13" s="1"/>
  <c r="M110" i="13" s="1"/>
  <c r="I90" i="13"/>
  <c r="J90" i="13" s="1"/>
  <c r="F90" i="13"/>
  <c r="J79" i="13"/>
  <c r="I79" i="13"/>
  <c r="I78" i="13"/>
  <c r="J78" i="13" s="1"/>
  <c r="J77" i="13"/>
  <c r="I77" i="13"/>
  <c r="I80" i="13" s="1"/>
  <c r="J69" i="13"/>
  <c r="I69" i="13"/>
  <c r="I68" i="13"/>
  <c r="J68" i="13" s="1"/>
  <c r="J67" i="13"/>
  <c r="J70" i="13" s="1"/>
  <c r="I67" i="13"/>
  <c r="I70" i="13" s="1"/>
  <c r="K58" i="13"/>
  <c r="K60" i="13" s="1"/>
  <c r="O56" i="13"/>
  <c r="O55" i="13"/>
  <c r="K55" i="13"/>
  <c r="I55" i="13"/>
  <c r="I54" i="13"/>
  <c r="I53" i="13"/>
  <c r="K50" i="13"/>
  <c r="L49" i="13"/>
  <c r="L50" i="13" s="1"/>
  <c r="K45" i="13"/>
  <c r="K40" i="13"/>
  <c r="K35" i="13"/>
  <c r="I35" i="13"/>
  <c r="I34" i="13"/>
  <c r="M33" i="13"/>
  <c r="I33" i="13"/>
  <c r="L30" i="13"/>
  <c r="L28" i="13"/>
  <c r="L27" i="13"/>
  <c r="K27" i="13"/>
  <c r="K24" i="13"/>
  <c r="K25" i="13" s="1"/>
  <c r="K26" i="13" s="1"/>
  <c r="K28" i="13" s="1"/>
  <c r="I19" i="13"/>
  <c r="L17" i="13"/>
  <c r="L15" i="13"/>
  <c r="L18" i="13" s="1"/>
  <c r="I13" i="13"/>
  <c r="N12" i="13"/>
  <c r="I12" i="13"/>
  <c r="K11" i="13"/>
  <c r="L10" i="13"/>
  <c r="L16" i="13" s="1"/>
  <c r="M9" i="13"/>
  <c r="M10" i="13" s="1"/>
  <c r="J27" i="12"/>
  <c r="H27" i="12"/>
  <c r="E26" i="12"/>
  <c r="C26" i="12"/>
  <c r="E25" i="12"/>
  <c r="D25" i="12"/>
  <c r="F25" i="12" s="1"/>
  <c r="C25" i="12"/>
  <c r="E24" i="12"/>
  <c r="C24" i="12"/>
  <c r="E23" i="12"/>
  <c r="C23" i="12"/>
  <c r="E22" i="12"/>
  <c r="C22" i="12"/>
  <c r="E21" i="12"/>
  <c r="D21" i="12"/>
  <c r="F21" i="12" s="1"/>
  <c r="C21" i="12"/>
  <c r="E20" i="12"/>
  <c r="C20" i="12"/>
  <c r="E19" i="12"/>
  <c r="C19" i="12"/>
  <c r="E18" i="12"/>
  <c r="C18" i="12"/>
  <c r="E17" i="12"/>
  <c r="D17" i="12"/>
  <c r="F17" i="12" s="1"/>
  <c r="C17" i="12"/>
  <c r="E16" i="12"/>
  <c r="C16" i="12"/>
  <c r="E15" i="12"/>
  <c r="C15" i="12"/>
  <c r="E14" i="12"/>
  <c r="C14" i="12"/>
  <c r="E13" i="12"/>
  <c r="D13" i="12"/>
  <c r="F13" i="12" s="1"/>
  <c r="C13" i="12"/>
  <c r="E12" i="12"/>
  <c r="C12" i="12"/>
  <c r="E11" i="12"/>
  <c r="C11" i="12"/>
  <c r="E10" i="12"/>
  <c r="C10" i="12"/>
  <c r="E9" i="12"/>
  <c r="D9" i="12"/>
  <c r="F9" i="12" s="1"/>
  <c r="C9" i="12"/>
  <c r="E8" i="12"/>
  <c r="C8" i="12"/>
  <c r="E7" i="12"/>
  <c r="E27" i="12" s="1"/>
  <c r="C7" i="12"/>
  <c r="C27" i="12" s="1"/>
  <c r="D23" i="12" s="1"/>
  <c r="F23" i="12" s="1"/>
  <c r="D26" i="11"/>
  <c r="D24" i="11"/>
  <c r="D22" i="11"/>
  <c r="D20" i="11"/>
  <c r="D18" i="11"/>
  <c r="D16" i="11"/>
  <c r="D14" i="11"/>
  <c r="D12" i="11"/>
  <c r="D10" i="11"/>
  <c r="D8" i="11"/>
  <c r="B58" i="10"/>
  <c r="B57" i="10"/>
  <c r="B56" i="10"/>
  <c r="B55" i="10"/>
  <c r="B54" i="10"/>
  <c r="B53" i="10"/>
  <c r="B52" i="10"/>
  <c r="B51" i="10"/>
  <c r="B50" i="10"/>
  <c r="B49" i="10"/>
  <c r="B48" i="10"/>
  <c r="B47" i="10"/>
  <c r="B46" i="10"/>
  <c r="B45" i="10"/>
  <c r="B44" i="10"/>
  <c r="B43" i="10"/>
  <c r="B42" i="10"/>
  <c r="B41" i="10"/>
  <c r="B40" i="10"/>
  <c r="B39" i="10"/>
  <c r="B38" i="10"/>
  <c r="S28" i="10"/>
  <c r="Q28" i="10"/>
  <c r="P28" i="10"/>
  <c r="O28" i="10"/>
  <c r="L28" i="10"/>
  <c r="P27" i="10"/>
  <c r="N27" i="10"/>
  <c r="E27" i="10"/>
  <c r="B27" i="10"/>
  <c r="T26" i="10"/>
  <c r="N26" i="10"/>
  <c r="P26" i="10" s="1"/>
  <c r="E26" i="10"/>
  <c r="B26" i="10"/>
  <c r="T25" i="10"/>
  <c r="P25" i="10"/>
  <c r="N25" i="10"/>
  <c r="E25" i="10"/>
  <c r="B25" i="10"/>
  <c r="T24" i="10"/>
  <c r="N24" i="10"/>
  <c r="P24" i="10" s="1"/>
  <c r="E24" i="10"/>
  <c r="B24" i="10"/>
  <c r="T23" i="10"/>
  <c r="P23" i="10"/>
  <c r="N23" i="10"/>
  <c r="E23" i="10"/>
  <c r="B23" i="10"/>
  <c r="T22" i="10"/>
  <c r="N22" i="10"/>
  <c r="P22" i="10" s="1"/>
  <c r="E22" i="10"/>
  <c r="B22" i="10"/>
  <c r="T21" i="10"/>
  <c r="P21" i="10"/>
  <c r="N21" i="10"/>
  <c r="E21" i="10"/>
  <c r="B21" i="10"/>
  <c r="T20" i="10"/>
  <c r="N20" i="10"/>
  <c r="P20" i="10" s="1"/>
  <c r="E20" i="10"/>
  <c r="B20" i="10"/>
  <c r="T19" i="10"/>
  <c r="P19" i="10"/>
  <c r="N19" i="10"/>
  <c r="E19" i="10"/>
  <c r="B19" i="10"/>
  <c r="T18" i="10"/>
  <c r="N18" i="10"/>
  <c r="P18" i="10" s="1"/>
  <c r="E18" i="10"/>
  <c r="B18" i="10"/>
  <c r="T17" i="10"/>
  <c r="P17" i="10"/>
  <c r="N17" i="10"/>
  <c r="E17" i="10"/>
  <c r="B17" i="10"/>
  <c r="T16" i="10"/>
  <c r="N16" i="10"/>
  <c r="P16" i="10" s="1"/>
  <c r="E16" i="10"/>
  <c r="B16" i="10"/>
  <c r="T15" i="10"/>
  <c r="P15" i="10"/>
  <c r="N15" i="10"/>
  <c r="E15" i="10"/>
  <c r="B15" i="10"/>
  <c r="T14" i="10"/>
  <c r="N14" i="10"/>
  <c r="P14" i="10" s="1"/>
  <c r="E14" i="10"/>
  <c r="B14" i="10"/>
  <c r="T13" i="10"/>
  <c r="P13" i="10"/>
  <c r="N13" i="10"/>
  <c r="E13" i="10"/>
  <c r="B13" i="10"/>
  <c r="P12" i="10"/>
  <c r="N12" i="10"/>
  <c r="E12" i="10"/>
  <c r="B12" i="10"/>
  <c r="P11" i="10"/>
  <c r="N11" i="10"/>
  <c r="E11" i="10"/>
  <c r="B11" i="10"/>
  <c r="P10" i="10"/>
  <c r="N10" i="10"/>
  <c r="E10" i="10"/>
  <c r="B10" i="10"/>
  <c r="P9" i="10"/>
  <c r="N9" i="10"/>
  <c r="E9" i="10"/>
  <c r="B9" i="10"/>
  <c r="P8" i="10"/>
  <c r="N8" i="10"/>
  <c r="N28" i="10" s="1"/>
  <c r="L8" i="10"/>
  <c r="E8" i="10"/>
  <c r="B8" i="10"/>
  <c r="R29" i="9"/>
  <c r="H28" i="9"/>
  <c r="I28" i="9" s="1"/>
  <c r="G28" i="9"/>
  <c r="C28" i="9"/>
  <c r="H27" i="9"/>
  <c r="I27" i="9" s="1"/>
  <c r="G27" i="9"/>
  <c r="D27" i="9"/>
  <c r="E27" i="9" s="1"/>
  <c r="F27" i="9" s="1"/>
  <c r="C27" i="9"/>
  <c r="H26" i="9"/>
  <c r="I26" i="9" s="1"/>
  <c r="G26" i="9"/>
  <c r="C26" i="9"/>
  <c r="H25" i="9"/>
  <c r="I25" i="9" s="1"/>
  <c r="G25" i="9"/>
  <c r="D25" i="9"/>
  <c r="E25" i="9" s="1"/>
  <c r="F25" i="9" s="1"/>
  <c r="C25" i="9"/>
  <c r="H24" i="9"/>
  <c r="I24" i="9" s="1"/>
  <c r="G24" i="9"/>
  <c r="C24" i="9"/>
  <c r="H23" i="9"/>
  <c r="I23" i="9" s="1"/>
  <c r="G23" i="9"/>
  <c r="D23" i="9"/>
  <c r="E23" i="9" s="1"/>
  <c r="F23" i="9" s="1"/>
  <c r="C23" i="9"/>
  <c r="H22" i="9"/>
  <c r="I22" i="9" s="1"/>
  <c r="G22" i="9"/>
  <c r="C22" i="9"/>
  <c r="H21" i="9"/>
  <c r="I21" i="9" s="1"/>
  <c r="G21" i="9"/>
  <c r="D21" i="9"/>
  <c r="E21" i="9" s="1"/>
  <c r="F21" i="9" s="1"/>
  <c r="C21" i="9"/>
  <c r="H20" i="9"/>
  <c r="I20" i="9" s="1"/>
  <c r="G20" i="9"/>
  <c r="D20" i="9"/>
  <c r="E20" i="9" s="1"/>
  <c r="F20" i="9" s="1"/>
  <c r="C20" i="9"/>
  <c r="H19" i="9"/>
  <c r="I19" i="9" s="1"/>
  <c r="G19" i="9"/>
  <c r="D19" i="9"/>
  <c r="E19" i="9" s="1"/>
  <c r="F19" i="9" s="1"/>
  <c r="C19" i="9"/>
  <c r="H18" i="9"/>
  <c r="I18" i="9" s="1"/>
  <c r="G18" i="9"/>
  <c r="D18" i="9"/>
  <c r="E18" i="9" s="1"/>
  <c r="F18" i="9" s="1"/>
  <c r="C18" i="9"/>
  <c r="H17" i="9"/>
  <c r="I17" i="9" s="1"/>
  <c r="G17" i="9"/>
  <c r="D17" i="9"/>
  <c r="E17" i="9" s="1"/>
  <c r="F17" i="9" s="1"/>
  <c r="C17" i="9"/>
  <c r="H16" i="9"/>
  <c r="I16" i="9" s="1"/>
  <c r="G16" i="9"/>
  <c r="D16" i="9"/>
  <c r="E16" i="9" s="1"/>
  <c r="F16" i="9" s="1"/>
  <c r="C16" i="9"/>
  <c r="H15" i="9"/>
  <c r="I15" i="9" s="1"/>
  <c r="G15" i="9"/>
  <c r="D15" i="9"/>
  <c r="E15" i="9" s="1"/>
  <c r="F15" i="9" s="1"/>
  <c r="C15" i="9"/>
  <c r="H14" i="9"/>
  <c r="I14" i="9" s="1"/>
  <c r="G14" i="9"/>
  <c r="D14" i="9"/>
  <c r="E14" i="9" s="1"/>
  <c r="F14" i="9" s="1"/>
  <c r="C14" i="9"/>
  <c r="H13" i="9"/>
  <c r="I13" i="9" s="1"/>
  <c r="G13" i="9"/>
  <c r="D13" i="9"/>
  <c r="E13" i="9" s="1"/>
  <c r="F13" i="9" s="1"/>
  <c r="C13" i="9"/>
  <c r="H12" i="9"/>
  <c r="I12" i="9" s="1"/>
  <c r="G12" i="9"/>
  <c r="D12" i="9"/>
  <c r="E12" i="9" s="1"/>
  <c r="F12" i="9" s="1"/>
  <c r="C12" i="9"/>
  <c r="H11" i="9"/>
  <c r="I11" i="9" s="1"/>
  <c r="G11" i="9"/>
  <c r="D11" i="9"/>
  <c r="E11" i="9" s="1"/>
  <c r="F11" i="9" s="1"/>
  <c r="C11" i="9"/>
  <c r="H10" i="9"/>
  <c r="I10" i="9" s="1"/>
  <c r="G10" i="9"/>
  <c r="D10" i="9"/>
  <c r="E10" i="9" s="1"/>
  <c r="F10" i="9" s="1"/>
  <c r="C10" i="9"/>
  <c r="H9" i="9"/>
  <c r="H29" i="9" s="1"/>
  <c r="G9" i="9"/>
  <c r="G29" i="9" s="1"/>
  <c r="D9" i="9"/>
  <c r="C9" i="9"/>
  <c r="C29" i="9" s="1"/>
  <c r="D26" i="9" s="1"/>
  <c r="E26" i="9" s="1"/>
  <c r="F26" i="9" s="1"/>
  <c r="E9" i="9" l="1"/>
  <c r="I9" i="9"/>
  <c r="D24" i="9"/>
  <c r="E24" i="9" s="1"/>
  <c r="F24" i="9" s="1"/>
  <c r="D28" i="9"/>
  <c r="E28" i="9" s="1"/>
  <c r="F28" i="9" s="1"/>
  <c r="E28" i="10"/>
  <c r="C19" i="10"/>
  <c r="D22" i="9"/>
  <c r="E22" i="9" s="1"/>
  <c r="F22" i="9" s="1"/>
  <c r="T28" i="10"/>
  <c r="B28" i="10"/>
  <c r="C15" i="10" s="1"/>
  <c r="F18" i="10"/>
  <c r="G18" i="10" s="1"/>
  <c r="D9" i="11"/>
  <c r="D13" i="11"/>
  <c r="D17" i="11"/>
  <c r="D21" i="11"/>
  <c r="D25" i="11"/>
  <c r="D7" i="12"/>
  <c r="D8" i="12"/>
  <c r="F8" i="12" s="1"/>
  <c r="D12" i="12"/>
  <c r="F12" i="12" s="1"/>
  <c r="D16" i="12"/>
  <c r="F16" i="12" s="1"/>
  <c r="D20" i="12"/>
  <c r="F20" i="12" s="1"/>
  <c r="D24" i="12"/>
  <c r="F24" i="12" s="1"/>
  <c r="W93" i="13"/>
  <c r="W97" i="13"/>
  <c r="W101" i="13"/>
  <c r="W105" i="13"/>
  <c r="W109" i="13"/>
  <c r="D7" i="11"/>
  <c r="D11" i="11"/>
  <c r="D15" i="11"/>
  <c r="D19" i="11"/>
  <c r="D23" i="11"/>
  <c r="D10" i="12"/>
  <c r="F10" i="12" s="1"/>
  <c r="D14" i="12"/>
  <c r="F14" i="12" s="1"/>
  <c r="D18" i="12"/>
  <c r="F18" i="12" s="1"/>
  <c r="D22" i="12"/>
  <c r="F22" i="12" s="1"/>
  <c r="D26" i="12"/>
  <c r="F26" i="12" s="1"/>
  <c r="I17" i="13"/>
  <c r="I15" i="13"/>
  <c r="I18" i="13" s="1"/>
  <c r="K18" i="13" s="1"/>
  <c r="I16" i="13"/>
  <c r="K30" i="13"/>
  <c r="J80" i="13"/>
  <c r="D11" i="12"/>
  <c r="F11" i="12" s="1"/>
  <c r="D15" i="12"/>
  <c r="F15" i="12" s="1"/>
  <c r="D19" i="12"/>
  <c r="F19" i="12" s="1"/>
  <c r="W107" i="13"/>
  <c r="W103" i="13"/>
  <c r="W99" i="13"/>
  <c r="W95" i="13"/>
  <c r="W91" i="13"/>
  <c r="W106" i="13"/>
  <c r="W102" i="13"/>
  <c r="W98" i="13"/>
  <c r="W94" i="13"/>
  <c r="W90" i="13"/>
  <c r="X91" i="13"/>
  <c r="Y91" i="13" s="1"/>
  <c r="X99" i="13"/>
  <c r="X107" i="13"/>
  <c r="Y107" i="13" s="1"/>
  <c r="X96" i="13"/>
  <c r="Y96" i="13" s="1"/>
  <c r="X104" i="13"/>
  <c r="Y104" i="13" s="1"/>
  <c r="X108" i="13"/>
  <c r="Y108" i="13" s="1"/>
  <c r="AA91" i="13"/>
  <c r="AA95" i="13"/>
  <c r="AA99" i="13"/>
  <c r="AA103" i="13"/>
  <c r="AA107" i="13"/>
  <c r="V110" i="13"/>
  <c r="X95" i="13" s="1"/>
  <c r="Y95" i="13" s="1"/>
  <c r="C9" i="5"/>
  <c r="C10" i="5"/>
  <c r="C11" i="5"/>
  <c r="C12" i="5"/>
  <c r="C13" i="5"/>
  <c r="C14" i="5"/>
  <c r="C15" i="5"/>
  <c r="C16" i="5"/>
  <c r="C17" i="5"/>
  <c r="C18" i="5"/>
  <c r="C19" i="5"/>
  <c r="C20" i="5"/>
  <c r="C21" i="5"/>
  <c r="C22" i="5"/>
  <c r="C23" i="5"/>
  <c r="C24" i="5"/>
  <c r="C25" i="5"/>
  <c r="C26" i="5"/>
  <c r="C27" i="5"/>
  <c r="C28" i="5"/>
  <c r="E9" i="5"/>
  <c r="E10" i="5"/>
  <c r="E11" i="5"/>
  <c r="E12" i="5"/>
  <c r="E13" i="5"/>
  <c r="E14" i="5"/>
  <c r="E15" i="5"/>
  <c r="E16" i="5"/>
  <c r="E17" i="5"/>
  <c r="E18" i="5"/>
  <c r="E19" i="5"/>
  <c r="E20" i="5"/>
  <c r="E21" i="5"/>
  <c r="E22" i="5"/>
  <c r="E23" i="5"/>
  <c r="E24" i="5"/>
  <c r="E25" i="5"/>
  <c r="E26" i="5"/>
  <c r="E27" i="5"/>
  <c r="E28" i="5"/>
  <c r="G9" i="5"/>
  <c r="G10" i="5"/>
  <c r="G11" i="5"/>
  <c r="G12" i="5"/>
  <c r="G13" i="5"/>
  <c r="G14" i="5"/>
  <c r="G15" i="5"/>
  <c r="G16" i="5"/>
  <c r="G17" i="5"/>
  <c r="G18" i="5"/>
  <c r="G19" i="5"/>
  <c r="G20" i="5"/>
  <c r="G21" i="5"/>
  <c r="G22" i="5"/>
  <c r="G23" i="5"/>
  <c r="G24" i="5"/>
  <c r="G25" i="5"/>
  <c r="G26" i="5"/>
  <c r="G27" i="5"/>
  <c r="G28" i="5"/>
  <c r="I9" i="5"/>
  <c r="I10" i="5"/>
  <c r="I11" i="5"/>
  <c r="I12" i="5"/>
  <c r="I13" i="5"/>
  <c r="I14" i="5"/>
  <c r="I15" i="5"/>
  <c r="I16" i="5"/>
  <c r="I17" i="5"/>
  <c r="I18" i="5"/>
  <c r="I19" i="5"/>
  <c r="I20" i="5"/>
  <c r="I21" i="5"/>
  <c r="I22" i="5"/>
  <c r="I23" i="5"/>
  <c r="I24" i="5"/>
  <c r="I25" i="5"/>
  <c r="I26" i="5"/>
  <c r="I27" i="5"/>
  <c r="I28" i="5"/>
  <c r="D15" i="10" l="1"/>
  <c r="D27" i="12"/>
  <c r="F7" i="12"/>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AB107" i="13"/>
  <c r="X92" i="13"/>
  <c r="Y92" i="13" s="1"/>
  <c r="C21" i="10"/>
  <c r="C25" i="10"/>
  <c r="F20" i="10"/>
  <c r="G20" i="10" s="1"/>
  <c r="F8" i="10"/>
  <c r="G8" i="10" s="1"/>
  <c r="F17" i="10"/>
  <c r="G17" i="10" s="1"/>
  <c r="C11" i="10"/>
  <c r="D29" i="9"/>
  <c r="I29" i="9"/>
  <c r="X106" i="13"/>
  <c r="Y106" i="13" s="1"/>
  <c r="X102" i="13"/>
  <c r="Y102" i="13" s="1"/>
  <c r="X98" i="13"/>
  <c r="Y98" i="13" s="1"/>
  <c r="X94" i="13"/>
  <c r="Y94" i="13" s="1"/>
  <c r="X90" i="13"/>
  <c r="X109" i="13"/>
  <c r="Y109" i="13" s="1"/>
  <c r="X105" i="13"/>
  <c r="Y105" i="13" s="1"/>
  <c r="X101" i="13"/>
  <c r="Y101" i="13" s="1"/>
  <c r="X97" i="13"/>
  <c r="Y97" i="13" s="1"/>
  <c r="X93" i="13"/>
  <c r="Y93" i="13" s="1"/>
  <c r="X100" i="13"/>
  <c r="Y100" i="13" s="1"/>
  <c r="X103" i="13"/>
  <c r="Y103" i="13" s="1"/>
  <c r="W110" i="13"/>
  <c r="D27" i="11"/>
  <c r="C10" i="10"/>
  <c r="F24" i="10"/>
  <c r="G24" i="10" s="1"/>
  <c r="C13" i="10"/>
  <c r="C27" i="10"/>
  <c r="E29" i="9"/>
  <c r="F9" i="9"/>
  <c r="D19" i="10"/>
  <c r="F16" i="10"/>
  <c r="G16" i="10" s="1"/>
  <c r="AB91" i="13"/>
  <c r="Y99" i="13"/>
  <c r="AA110" i="13"/>
  <c r="F22" i="10"/>
  <c r="G22" i="10" s="1"/>
  <c r="F26" i="10"/>
  <c r="G26" i="10" s="1"/>
  <c r="C28" i="10"/>
  <c r="C20" i="10"/>
  <c r="C24" i="10"/>
  <c r="C22" i="10"/>
  <c r="C18" i="10"/>
  <c r="C26" i="10"/>
  <c r="C14" i="10"/>
  <c r="C8" i="10"/>
  <c r="C16" i="10"/>
  <c r="C23" i="10"/>
  <c r="C9" i="10"/>
  <c r="F14" i="10"/>
  <c r="G14" i="10" s="1"/>
  <c r="C12" i="10"/>
  <c r="C17" i="10"/>
  <c r="I11" i="6"/>
  <c r="I12" i="6"/>
  <c r="I13" i="6"/>
  <c r="I14" i="6"/>
  <c r="I15" i="6"/>
  <c r="I16" i="6"/>
  <c r="I17" i="6"/>
  <c r="I18" i="6"/>
  <c r="I19" i="6"/>
  <c r="I20" i="6"/>
  <c r="I21" i="6"/>
  <c r="I22" i="6"/>
  <c r="I23" i="6"/>
  <c r="I24" i="6"/>
  <c r="I25" i="6"/>
  <c r="I26" i="6"/>
  <c r="I27" i="6"/>
  <c r="I28" i="6"/>
  <c r="I29" i="6"/>
  <c r="I10" i="6"/>
  <c r="G11" i="6"/>
  <c r="G12" i="6"/>
  <c r="G13" i="6"/>
  <c r="G14" i="6"/>
  <c r="G15" i="6"/>
  <c r="G16" i="6"/>
  <c r="G17" i="6"/>
  <c r="G18" i="6"/>
  <c r="G19" i="6"/>
  <c r="G20" i="6"/>
  <c r="G21" i="6"/>
  <c r="G22" i="6"/>
  <c r="G23" i="6"/>
  <c r="G24" i="6"/>
  <c r="G25" i="6"/>
  <c r="G26" i="6"/>
  <c r="G27" i="6"/>
  <c r="G28" i="6"/>
  <c r="G29" i="6"/>
  <c r="G10" i="6"/>
  <c r="E11" i="6"/>
  <c r="E12" i="6"/>
  <c r="E13" i="6"/>
  <c r="E14" i="6"/>
  <c r="E15" i="6"/>
  <c r="E16" i="6"/>
  <c r="E17" i="6"/>
  <c r="E18" i="6"/>
  <c r="E19" i="6"/>
  <c r="E20" i="6"/>
  <c r="E21" i="6"/>
  <c r="E22" i="6"/>
  <c r="E23" i="6"/>
  <c r="E24" i="6"/>
  <c r="E25" i="6"/>
  <c r="E26" i="6"/>
  <c r="E27" i="6"/>
  <c r="E28" i="6"/>
  <c r="E29" i="6"/>
  <c r="E10" i="6"/>
  <c r="C11" i="6"/>
  <c r="C12" i="6"/>
  <c r="C13" i="6"/>
  <c r="C14" i="6"/>
  <c r="C15" i="6"/>
  <c r="C16" i="6"/>
  <c r="C17" i="6"/>
  <c r="C18" i="6"/>
  <c r="C19" i="6"/>
  <c r="C20" i="6"/>
  <c r="C21" i="6"/>
  <c r="C22" i="6"/>
  <c r="C23" i="6"/>
  <c r="C24" i="6"/>
  <c r="C25" i="6"/>
  <c r="C26" i="6"/>
  <c r="C27" i="6"/>
  <c r="C28" i="6"/>
  <c r="C29" i="6"/>
  <c r="C10" i="6"/>
  <c r="D20" i="10" l="1"/>
  <c r="J20" i="10"/>
  <c r="K20" i="10" s="1"/>
  <c r="G28" i="10"/>
  <c r="J15" i="10"/>
  <c r="K15" i="10" s="1"/>
  <c r="D12" i="10"/>
  <c r="J12" i="10"/>
  <c r="K12" i="10" s="1"/>
  <c r="J16" i="10"/>
  <c r="K16" i="10" s="1"/>
  <c r="D16" i="10"/>
  <c r="J18" i="10"/>
  <c r="K18" i="10" s="1"/>
  <c r="D18" i="10"/>
  <c r="AB93" i="13"/>
  <c r="AB109" i="13"/>
  <c r="AB92" i="13"/>
  <c r="AB108" i="13"/>
  <c r="AB90" i="13"/>
  <c r="AB98" i="13"/>
  <c r="AB106" i="13"/>
  <c r="AB97" i="13"/>
  <c r="AB96" i="13"/>
  <c r="AB100" i="13"/>
  <c r="AB101" i="13"/>
  <c r="AB94" i="13"/>
  <c r="AB102" i="13"/>
  <c r="AB105" i="13"/>
  <c r="AB104" i="13"/>
  <c r="J10" i="10"/>
  <c r="K10" i="10" s="1"/>
  <c r="D10" i="10"/>
  <c r="AB95" i="13"/>
  <c r="AB103" i="13"/>
  <c r="J8" i="10"/>
  <c r="D8" i="10"/>
  <c r="J26" i="10"/>
  <c r="K26" i="10" s="1"/>
  <c r="D26" i="10"/>
  <c r="F29" i="9"/>
  <c r="J27" i="9"/>
  <c r="K27" i="9" s="1"/>
  <c r="J23" i="9"/>
  <c r="K23" i="9" s="1"/>
  <c r="J25" i="9"/>
  <c r="K25" i="9" s="1"/>
  <c r="J21" i="9"/>
  <c r="K21" i="9" s="1"/>
  <c r="J11" i="9"/>
  <c r="K11" i="9" s="1"/>
  <c r="J24" i="9"/>
  <c r="K24" i="9" s="1"/>
  <c r="J10" i="9"/>
  <c r="K10" i="9" s="1"/>
  <c r="J17" i="9"/>
  <c r="K17" i="9" s="1"/>
  <c r="J13" i="9"/>
  <c r="K13" i="9" s="1"/>
  <c r="J22" i="9"/>
  <c r="K22" i="9" s="1"/>
  <c r="J12" i="9"/>
  <c r="K12" i="9" s="1"/>
  <c r="J18" i="9"/>
  <c r="K18" i="9" s="1"/>
  <c r="J15" i="9"/>
  <c r="K15" i="9" s="1"/>
  <c r="J14" i="9"/>
  <c r="K14" i="9" s="1"/>
  <c r="J19" i="9"/>
  <c r="K19" i="9" s="1"/>
  <c r="J28" i="9"/>
  <c r="K28" i="9" s="1"/>
  <c r="J16" i="9"/>
  <c r="K16" i="9" s="1"/>
  <c r="J20" i="9"/>
  <c r="K20" i="9" s="1"/>
  <c r="J26" i="9"/>
  <c r="K26"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AB99" i="13"/>
  <c r="J13" i="10"/>
  <c r="K13" i="10" s="1"/>
  <c r="D13" i="10"/>
  <c r="X110" i="13"/>
  <c r="Y90" i="13"/>
  <c r="Y110" i="13" s="1"/>
  <c r="J9" i="9"/>
  <c r="D21" i="10"/>
  <c r="J21" i="10"/>
  <c r="K21" i="10" s="1"/>
  <c r="F27" i="12"/>
  <c r="G7" i="12"/>
  <c r="C45" i="10"/>
  <c r="I15" i="10"/>
  <c r="H15" i="10"/>
  <c r="J23" i="10"/>
  <c r="K23" i="10" s="1"/>
  <c r="D23" i="10"/>
  <c r="K21" i="5"/>
  <c r="B21" i="8" s="1"/>
  <c r="I7" i="12" l="1"/>
  <c r="H7" i="12"/>
  <c r="R9" i="10"/>
  <c r="M9" i="10"/>
  <c r="T13" i="9"/>
  <c r="N13" i="9"/>
  <c r="O13" i="9" s="1"/>
  <c r="L13" i="9"/>
  <c r="N27" i="9"/>
  <c r="O27" i="9" s="1"/>
  <c r="T27" i="9"/>
  <c r="L27" i="9"/>
  <c r="C42" i="10"/>
  <c r="I12" i="10"/>
  <c r="H12" i="10"/>
  <c r="G27" i="12"/>
  <c r="G13" i="12"/>
  <c r="G23" i="12"/>
  <c r="G17" i="12"/>
  <c r="G9" i="12"/>
  <c r="G25" i="12"/>
  <c r="G21" i="12"/>
  <c r="G8" i="12"/>
  <c r="G19" i="12"/>
  <c r="G15" i="12"/>
  <c r="G14" i="12"/>
  <c r="G10" i="12"/>
  <c r="G16" i="12"/>
  <c r="G20" i="12"/>
  <c r="G18" i="12"/>
  <c r="G12" i="12"/>
  <c r="G26" i="12"/>
  <c r="G24" i="12"/>
  <c r="G11" i="12"/>
  <c r="G22" i="12"/>
  <c r="M14" i="10"/>
  <c r="R14" i="10"/>
  <c r="I25" i="10"/>
  <c r="C55" i="10"/>
  <c r="H25" i="10"/>
  <c r="C57" i="10"/>
  <c r="I27" i="10"/>
  <c r="H27" i="10"/>
  <c r="D49" i="10"/>
  <c r="F49" i="10" s="1"/>
  <c r="E49" i="10"/>
  <c r="H17" i="10"/>
  <c r="C47" i="10"/>
  <c r="I17" i="10"/>
  <c r="N28" i="9"/>
  <c r="O28" i="9" s="1"/>
  <c r="T28" i="9"/>
  <c r="L28" i="9"/>
  <c r="N18" i="9"/>
  <c r="O18" i="9" s="1"/>
  <c r="T18" i="9"/>
  <c r="L18" i="9"/>
  <c r="T17" i="9"/>
  <c r="L17" i="9"/>
  <c r="N17" i="9"/>
  <c r="O17" i="9" s="1"/>
  <c r="N21" i="9"/>
  <c r="O21" i="9" s="1"/>
  <c r="T21" i="9"/>
  <c r="L21" i="9"/>
  <c r="M26" i="10"/>
  <c r="R26" i="10"/>
  <c r="C46" i="10"/>
  <c r="H16" i="10"/>
  <c r="I16" i="10"/>
  <c r="R15" i="10"/>
  <c r="M15" i="10"/>
  <c r="R23" i="10"/>
  <c r="M23" i="10"/>
  <c r="K9" i="9"/>
  <c r="J29" i="9"/>
  <c r="C54" i="10"/>
  <c r="H24" i="10"/>
  <c r="I24" i="10"/>
  <c r="R11" i="10"/>
  <c r="M11" i="10"/>
  <c r="T15" i="9"/>
  <c r="N15" i="9"/>
  <c r="O15" i="9" s="1"/>
  <c r="L15" i="9"/>
  <c r="T11" i="9"/>
  <c r="N11" i="9"/>
  <c r="O11" i="9" s="1"/>
  <c r="L11" i="9"/>
  <c r="H26" i="10"/>
  <c r="I26" i="10"/>
  <c r="C56" i="10"/>
  <c r="R21" i="10"/>
  <c r="M21" i="10"/>
  <c r="R19" i="10"/>
  <c r="M19" i="10"/>
  <c r="H14" i="10"/>
  <c r="C44" i="10"/>
  <c r="I14" i="10"/>
  <c r="R25" i="10"/>
  <c r="M25" i="10"/>
  <c r="R27" i="10"/>
  <c r="M27" i="10"/>
  <c r="H22" i="10"/>
  <c r="C52" i="10"/>
  <c r="I22" i="10"/>
  <c r="L26" i="9"/>
  <c r="N26" i="9"/>
  <c r="O26" i="9" s="1"/>
  <c r="T26" i="9"/>
  <c r="T19" i="9"/>
  <c r="N19" i="9"/>
  <c r="O19" i="9" s="1"/>
  <c r="L19" i="9"/>
  <c r="L12" i="9"/>
  <c r="T12" i="9"/>
  <c r="N12" i="9"/>
  <c r="O12" i="9" s="1"/>
  <c r="L10" i="9"/>
  <c r="T10" i="9"/>
  <c r="N10" i="9"/>
  <c r="O10" i="9" s="1"/>
  <c r="N25" i="9"/>
  <c r="O25" i="9" s="1"/>
  <c r="T25" i="9"/>
  <c r="L25" i="9"/>
  <c r="C38" i="10"/>
  <c r="D28" i="10"/>
  <c r="C58" i="10" s="1"/>
  <c r="D58" i="10" s="1"/>
  <c r="H8" i="10"/>
  <c r="I8" i="10"/>
  <c r="I28" i="10" s="1"/>
  <c r="I10" i="10"/>
  <c r="C40" i="10"/>
  <c r="H10" i="10"/>
  <c r="AB110" i="13"/>
  <c r="M16" i="10"/>
  <c r="R16" i="10"/>
  <c r="C53" i="10"/>
  <c r="I23" i="10"/>
  <c r="H23" i="10"/>
  <c r="D45" i="10"/>
  <c r="E45" i="10"/>
  <c r="I21" i="10"/>
  <c r="C51" i="10"/>
  <c r="H21" i="10"/>
  <c r="C43" i="10"/>
  <c r="I13" i="10"/>
  <c r="H13" i="10"/>
  <c r="M24" i="10"/>
  <c r="R24" i="10"/>
  <c r="C39" i="10"/>
  <c r="I9" i="10"/>
  <c r="H9" i="10"/>
  <c r="C41" i="10"/>
  <c r="I11" i="10"/>
  <c r="H11" i="10"/>
  <c r="M22" i="10"/>
  <c r="R22" i="10"/>
  <c r="N20" i="9"/>
  <c r="O20" i="9" s="1"/>
  <c r="T20" i="9"/>
  <c r="L20" i="9"/>
  <c r="T14" i="9"/>
  <c r="L14" i="9"/>
  <c r="N14" i="9"/>
  <c r="O14" i="9" s="1"/>
  <c r="N22" i="9"/>
  <c r="O22" i="9" s="1"/>
  <c r="T22" i="9"/>
  <c r="L22" i="9"/>
  <c r="N24" i="9"/>
  <c r="O24" i="9" s="1"/>
  <c r="T24" i="9"/>
  <c r="L24" i="9"/>
  <c r="T23" i="9"/>
  <c r="L23" i="9"/>
  <c r="N23" i="9"/>
  <c r="O23" i="9" s="1"/>
  <c r="J28" i="10"/>
  <c r="K28" i="10" s="1"/>
  <c r="K8" i="10"/>
  <c r="R10" i="10"/>
  <c r="M10" i="10"/>
  <c r="H18" i="10"/>
  <c r="I18" i="10"/>
  <c r="C48" i="10"/>
  <c r="R12" i="10"/>
  <c r="M12" i="10"/>
  <c r="M20" i="10"/>
  <c r="R20" i="10"/>
  <c r="R13" i="10"/>
  <c r="M13" i="10"/>
  <c r="T16" i="9"/>
  <c r="N16" i="9"/>
  <c r="O16" i="9" s="1"/>
  <c r="L16" i="9"/>
  <c r="M18" i="10"/>
  <c r="R18" i="10"/>
  <c r="C50" i="10"/>
  <c r="H20" i="10"/>
  <c r="I20" i="10"/>
  <c r="K15" i="5"/>
  <c r="B15" i="8" s="1"/>
  <c r="K18" i="5"/>
  <c r="B18" i="8" s="1"/>
  <c r="K17" i="5"/>
  <c r="B17" i="8" s="1"/>
  <c r="K28" i="5"/>
  <c r="B28" i="8" s="1"/>
  <c r="K12" i="5"/>
  <c r="B12" i="8" s="1"/>
  <c r="K27" i="5"/>
  <c r="B27" i="8" s="1"/>
  <c r="K11" i="5"/>
  <c r="B11" i="8" s="1"/>
  <c r="K14" i="5"/>
  <c r="B14" i="8" s="1"/>
  <c r="K25" i="5"/>
  <c r="B25" i="8" s="1"/>
  <c r="K24" i="5"/>
  <c r="B24" i="8" s="1"/>
  <c r="K23" i="5"/>
  <c r="B23" i="8" s="1"/>
  <c r="K26" i="5"/>
  <c r="B26" i="8" s="1"/>
  <c r="K10" i="5"/>
  <c r="B10" i="8" s="1"/>
  <c r="K20" i="5"/>
  <c r="B20" i="8" s="1"/>
  <c r="K19" i="5"/>
  <c r="B19" i="8" s="1"/>
  <c r="K22" i="5"/>
  <c r="B22" i="8" s="1"/>
  <c r="K9" i="5"/>
  <c r="B9" i="8" s="1"/>
  <c r="K13" i="5"/>
  <c r="B13" i="8" s="1"/>
  <c r="K16" i="5"/>
  <c r="B16" i="8" s="1"/>
  <c r="M24" i="9" l="1"/>
  <c r="D41" i="10"/>
  <c r="F41" i="10" s="1"/>
  <c r="E41" i="10"/>
  <c r="D43" i="10"/>
  <c r="E43" i="10"/>
  <c r="D53" i="10"/>
  <c r="F53" i="10" s="1"/>
  <c r="E53" i="10"/>
  <c r="H28" i="10"/>
  <c r="M10" i="9"/>
  <c r="M19" i="9"/>
  <c r="E56" i="10"/>
  <c r="D56" i="10"/>
  <c r="M18" i="9"/>
  <c r="I11" i="12"/>
  <c r="K11" i="12" s="1"/>
  <c r="H11" i="12"/>
  <c r="I18" i="12"/>
  <c r="K18" i="12" s="1"/>
  <c r="H18" i="12"/>
  <c r="I14" i="12"/>
  <c r="K14" i="12" s="1"/>
  <c r="H14" i="12"/>
  <c r="H21" i="12"/>
  <c r="I21" i="12"/>
  <c r="K21" i="12" s="1"/>
  <c r="I23" i="12"/>
  <c r="K23" i="12" s="1"/>
  <c r="H23" i="12"/>
  <c r="M14" i="9"/>
  <c r="M16" i="9"/>
  <c r="M20" i="9"/>
  <c r="F45" i="10"/>
  <c r="E40" i="10"/>
  <c r="D40" i="10"/>
  <c r="F40" i="10" s="1"/>
  <c r="M26" i="9"/>
  <c r="D54" i="10"/>
  <c r="F54" i="10" s="1"/>
  <c r="E54" i="10"/>
  <c r="D57" i="10"/>
  <c r="F57" i="10" s="1"/>
  <c r="E57" i="10"/>
  <c r="I24" i="12"/>
  <c r="K24" i="12" s="1"/>
  <c r="H24" i="12"/>
  <c r="I20" i="12"/>
  <c r="K20" i="12" s="1"/>
  <c r="H20" i="12"/>
  <c r="I15" i="12"/>
  <c r="K15" i="12" s="1"/>
  <c r="H15" i="12"/>
  <c r="H25" i="12"/>
  <c r="I25" i="12"/>
  <c r="K25" i="12" s="1"/>
  <c r="H13" i="12"/>
  <c r="I13" i="12"/>
  <c r="K13" i="12" s="1"/>
  <c r="D42" i="10"/>
  <c r="F42" i="10" s="1"/>
  <c r="E42" i="10"/>
  <c r="M13" i="9"/>
  <c r="R8" i="10"/>
  <c r="R28" i="10" s="1"/>
  <c r="M8" i="10"/>
  <c r="M28" i="10" s="1"/>
  <c r="D39" i="10"/>
  <c r="E39" i="10"/>
  <c r="D50" i="10"/>
  <c r="F50" i="10" s="1"/>
  <c r="E50" i="10"/>
  <c r="E48" i="10"/>
  <c r="D48" i="10"/>
  <c r="M23" i="9"/>
  <c r="D51" i="10"/>
  <c r="E51" i="10"/>
  <c r="D38" i="10"/>
  <c r="F38" i="10" s="1"/>
  <c r="E38" i="10"/>
  <c r="E58" i="10" s="1"/>
  <c r="E44" i="10"/>
  <c r="D44" i="10"/>
  <c r="F44" i="10" s="1"/>
  <c r="M15" i="9"/>
  <c r="D46" i="10"/>
  <c r="E46" i="10"/>
  <c r="M21" i="9"/>
  <c r="M17" i="9"/>
  <c r="I26" i="12"/>
  <c r="K26" i="12" s="1"/>
  <c r="H26" i="12"/>
  <c r="I16" i="12"/>
  <c r="K16" i="12" s="1"/>
  <c r="H16" i="12"/>
  <c r="I19" i="12"/>
  <c r="K19" i="12" s="1"/>
  <c r="H19" i="12"/>
  <c r="H9" i="12"/>
  <c r="I9" i="12"/>
  <c r="K9" i="12" s="1"/>
  <c r="M27" i="9"/>
  <c r="M22" i="9"/>
  <c r="M25" i="9"/>
  <c r="M12" i="9"/>
  <c r="E52" i="10"/>
  <c r="D52" i="10"/>
  <c r="F52" i="10" s="1"/>
  <c r="M11" i="9"/>
  <c r="K29" i="9"/>
  <c r="T29" i="9" s="1"/>
  <c r="T9" i="9"/>
  <c r="L9" i="9"/>
  <c r="N9" i="9"/>
  <c r="M28" i="9"/>
  <c r="D47" i="10"/>
  <c r="E47" i="10"/>
  <c r="D55" i="10"/>
  <c r="F55" i="10" s="1"/>
  <c r="E55" i="10"/>
  <c r="I22" i="12"/>
  <c r="K22" i="12" s="1"/>
  <c r="H22" i="12"/>
  <c r="I12" i="12"/>
  <c r="K12" i="12" s="1"/>
  <c r="H12" i="12"/>
  <c r="I10" i="12"/>
  <c r="K10" i="12" s="1"/>
  <c r="H10" i="12"/>
  <c r="I8" i="12"/>
  <c r="K8" i="12" s="1"/>
  <c r="H8" i="12"/>
  <c r="H17" i="12"/>
  <c r="I17" i="12"/>
  <c r="K17" i="12" s="1"/>
  <c r="K7" i="12"/>
  <c r="K27" i="12" s="1"/>
  <c r="H29" i="5"/>
  <c r="O9" i="9" l="1"/>
  <c r="N29" i="9"/>
  <c r="F46" i="10"/>
  <c r="F39" i="10"/>
  <c r="F47" i="10"/>
  <c r="L29" i="9"/>
  <c r="M29" i="9" s="1"/>
  <c r="M9" i="9"/>
  <c r="F51" i="10"/>
  <c r="F43" i="10"/>
  <c r="I27" i="12"/>
  <c r="F48" i="10"/>
  <c r="F56" i="10"/>
  <c r="K10" i="6"/>
  <c r="C9" i="8" s="1"/>
  <c r="D9" i="8" s="1"/>
  <c r="K12" i="6"/>
  <c r="C11" i="8" s="1"/>
  <c r="D11" i="8" s="1"/>
  <c r="K11" i="6"/>
  <c r="C10" i="8" s="1"/>
  <c r="D10" i="8" s="1"/>
  <c r="K14" i="6"/>
  <c r="C13" i="8" s="1"/>
  <c r="D13" i="8" s="1"/>
  <c r="K17" i="6"/>
  <c r="C16" i="8" s="1"/>
  <c r="D16" i="8" s="1"/>
  <c r="K18" i="6"/>
  <c r="C17" i="8" s="1"/>
  <c r="D17" i="8" s="1"/>
  <c r="K20" i="6"/>
  <c r="C19" i="8" s="1"/>
  <c r="D19" i="8" s="1"/>
  <c r="K21" i="6"/>
  <c r="C20" i="8" s="1"/>
  <c r="D20" i="8" s="1"/>
  <c r="K22" i="6"/>
  <c r="C21" i="8" s="1"/>
  <c r="D21" i="8" s="1"/>
  <c r="K24" i="6"/>
  <c r="C23" i="8" s="1"/>
  <c r="D23" i="8" s="1"/>
  <c r="K25" i="6"/>
  <c r="C24" i="8" s="1"/>
  <c r="D24" i="8" s="1"/>
  <c r="K26" i="6"/>
  <c r="C25" i="8" s="1"/>
  <c r="D25" i="8" s="1"/>
  <c r="K28" i="6"/>
  <c r="C27" i="8" s="1"/>
  <c r="D27" i="8" s="1"/>
  <c r="K29" i="6"/>
  <c r="C28" i="8" s="1"/>
  <c r="D28" i="8" s="1"/>
  <c r="K23" i="6"/>
  <c r="C22" i="8" s="1"/>
  <c r="D22" i="8" s="1"/>
  <c r="K19" i="6"/>
  <c r="C18" i="8" s="1"/>
  <c r="D18" i="8" s="1"/>
  <c r="K15" i="6"/>
  <c r="C14" i="8" s="1"/>
  <c r="D14" i="8" s="1"/>
  <c r="K16" i="6"/>
  <c r="C15" i="8" s="1"/>
  <c r="D15" i="8" s="1"/>
  <c r="K13" i="6"/>
  <c r="C12" i="8" s="1"/>
  <c r="D12" i="8" s="1"/>
  <c r="K27" i="6"/>
  <c r="C26" i="8" s="1"/>
  <c r="D26" i="8" s="1"/>
  <c r="O29" i="9" l="1"/>
  <c r="H30" i="6"/>
  <c r="P20" i="9" l="1"/>
  <c r="P23" i="9"/>
  <c r="P12" i="9"/>
  <c r="P14" i="9"/>
  <c r="P18" i="9"/>
  <c r="P11" i="9"/>
  <c r="P22" i="9"/>
  <c r="P19" i="9"/>
  <c r="P10" i="9"/>
  <c r="P26" i="9"/>
  <c r="P21" i="9"/>
  <c r="P17" i="9"/>
  <c r="P16" i="9"/>
  <c r="P15" i="9"/>
  <c r="P13" i="9"/>
  <c r="P27" i="9"/>
  <c r="P25" i="9"/>
  <c r="P28" i="9"/>
  <c r="P24" i="9"/>
  <c r="P9" i="9"/>
  <c r="C29" i="8"/>
  <c r="B29" i="8"/>
  <c r="F30" i="6"/>
  <c r="D30" i="6"/>
  <c r="B30" i="6"/>
  <c r="Q16" i="9" l="1"/>
  <c r="R16" i="9"/>
  <c r="S16" i="9" s="1"/>
  <c r="Q18" i="9"/>
  <c r="R18" i="9"/>
  <c r="S18" i="9" s="1"/>
  <c r="R9" i="9"/>
  <c r="S9" i="9" s="1"/>
  <c r="P29" i="9"/>
  <c r="Q9" i="9"/>
  <c r="Q27" i="9"/>
  <c r="R27" i="9"/>
  <c r="S27" i="9" s="1"/>
  <c r="R17" i="9"/>
  <c r="S17" i="9" s="1"/>
  <c r="Q17" i="9"/>
  <c r="R19" i="9"/>
  <c r="S19" i="9" s="1"/>
  <c r="Q19" i="9"/>
  <c r="R14" i="9"/>
  <c r="S14" i="9" s="1"/>
  <c r="Q14" i="9"/>
  <c r="Q10" i="9"/>
  <c r="R10" i="9"/>
  <c r="S10" i="9" s="1"/>
  <c r="R13" i="9"/>
  <c r="S13" i="9" s="1"/>
  <c r="Q13" i="9"/>
  <c r="Q21" i="9"/>
  <c r="R21" i="9"/>
  <c r="S21" i="9" s="1"/>
  <c r="Q22" i="9"/>
  <c r="R22" i="9"/>
  <c r="S22" i="9" s="1"/>
  <c r="R12" i="9"/>
  <c r="S12" i="9" s="1"/>
  <c r="Q12" i="9"/>
  <c r="Q25" i="9"/>
  <c r="R25" i="9"/>
  <c r="S25" i="9" s="1"/>
  <c r="Q20" i="9"/>
  <c r="R20" i="9"/>
  <c r="S20" i="9" s="1"/>
  <c r="Q24" i="9"/>
  <c r="R24" i="9"/>
  <c r="S24" i="9" s="1"/>
  <c r="Q28" i="9"/>
  <c r="R28" i="9"/>
  <c r="S28" i="9" s="1"/>
  <c r="R15" i="9"/>
  <c r="S15" i="9" s="1"/>
  <c r="Q15" i="9"/>
  <c r="Q26" i="9"/>
  <c r="R26" i="9"/>
  <c r="S26" i="9" s="1"/>
  <c r="Q11" i="9"/>
  <c r="R11" i="9"/>
  <c r="S11" i="9" s="1"/>
  <c r="Q23" i="9"/>
  <c r="R23" i="9"/>
  <c r="S23" i="9" s="1"/>
  <c r="D29" i="8"/>
  <c r="K30" i="6"/>
  <c r="D29" i="5"/>
  <c r="F29" i="5"/>
  <c r="B29" i="5"/>
  <c r="S29" i="9" l="1"/>
  <c r="Q29" i="9"/>
  <c r="J20" i="6"/>
  <c r="J19" i="6"/>
  <c r="J25" i="6"/>
  <c r="J18" i="6"/>
  <c r="J28" i="6"/>
  <c r="J16" i="6"/>
  <c r="J17" i="6"/>
  <c r="J22" i="6"/>
  <c r="J21" i="6"/>
  <c r="J29" i="6"/>
  <c r="J13" i="6"/>
  <c r="J10" i="6"/>
  <c r="J23" i="6"/>
  <c r="J27" i="6"/>
  <c r="J14" i="6"/>
  <c r="J24" i="6"/>
  <c r="J11" i="6"/>
  <c r="J15" i="6"/>
  <c r="J26" i="6"/>
  <c r="J12" i="6"/>
  <c r="K29" i="5"/>
  <c r="J28" i="5" s="1"/>
  <c r="J17" i="5" l="1"/>
  <c r="J22" i="5"/>
  <c r="J19" i="5"/>
  <c r="J16" i="5"/>
  <c r="J21" i="5"/>
  <c r="J10" i="5"/>
  <c r="J26" i="5"/>
  <c r="J23" i="5"/>
  <c r="J20" i="5"/>
  <c r="J25" i="5"/>
  <c r="J14" i="5"/>
  <c r="J11" i="5"/>
  <c r="J27" i="5"/>
  <c r="J24" i="5"/>
  <c r="J13" i="5"/>
  <c r="J9" i="5"/>
  <c r="J18" i="5"/>
  <c r="J15" i="5"/>
  <c r="J12" i="5"/>
  <c r="J30" i="6"/>
  <c r="J29" i="5" l="1"/>
</calcChain>
</file>

<file path=xl/sharedStrings.xml><?xml version="1.0" encoding="utf-8"?>
<sst xmlns="http://schemas.openxmlformats.org/spreadsheetml/2006/main" count="495" uniqueCount="243">
  <si>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</si>
  <si>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</si>
  <si>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</si>
  <si>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</si>
  <si>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</si>
  <si>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</si>
  <si>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</si>
  <si>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</si>
  <si>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</si>
  <si>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</si>
  <si>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</si>
  <si>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</si>
  <si>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</si>
  <si>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</si>
  <si>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</si>
  <si>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</si>
  <si>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</si>
  <si>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</si>
  <si>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</si>
  <si>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</si>
  <si>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</si>
  <si>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</si>
  <si>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</si>
  <si>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</si>
  <si>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</si>
  <si>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IMPUESTO ESPECIAL SOBRE PRODUCCION Y SERVICIOS</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</si>
  <si>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</si>
  <si>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</si>
  <si>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</si>
  <si>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</si>
  <si>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</si>
  <si>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</si>
  <si>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</si>
  <si>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</si>
  <si>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</si>
  <si>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</si>
  <si>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</si>
  <si>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FONDO DE FISCALIZACION Y RECAUDACION</t>
  </si>
  <si>
    <t>Las cifras pueden no coincidir debido al redondeo.</t>
  </si>
  <si>
    <t>PORCENTAJES Y MONTOS DE PARTIPACIONES FEDERALES PROVISIONALES MINISTRADAS A LOS MUNICIPIOS PARA EL EJERCICIO FISCAL 2017</t>
  </si>
  <si>
    <t>PORCENTAJES Y MONTOS DE PARCIPACIONES FEDERALES DEFINITIVAS CORRESPONDIENTES A LOS MUNICIPIOS PARA EL EJERCICIO FISCAL 2017</t>
  </si>
  <si>
    <t>SALDOS DERIVADOS DEL AJUSTE DE PARTICIPACIONES FEDERALES DEL EJERCICIO FISCAL 2017</t>
  </si>
  <si>
    <t>De conformidad al acuerdo 02/2014 por lo que se expiden los lineamientos para la publicación a que se refiere el artículo 6o. de la Ley de Coordinación Fiscal, numeral III inciso e). La diferencia de FOFIR del cuarto trimestre 2017 se participo en el mes de enero del 2018. El Tercer Ajuste Cuatrimestral 2017 se participó en el mes de Febrero de 2018.</t>
  </si>
  <si>
    <t>Cálculo de la Distribución del Ajuste Definitivo 2017 del Fondo General de Participaciones</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</si>
  <si>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</si>
  <si>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</si>
  <si>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</si>
  <si>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</si>
  <si>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</si>
  <si>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</si>
  <si>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</si>
  <si>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</si>
  <si>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</si>
  <si>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</si>
  <si>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</si>
  <si>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Distribución correspondiente a Enero 2018</t>
  </si>
  <si>
    <t>Intercensal 2010</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</si>
  <si>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</si>
  <si>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</si>
  <si>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</si>
  <si>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</si>
  <si>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</si>
  <si>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</si>
  <si>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</si>
  <si>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</si>
  <si>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</si>
  <si>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</si>
  <si>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</si>
  <si>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</si>
  <si>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</si>
  <si>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</si>
  <si>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</si>
  <si>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</si>
  <si>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</si>
  <si>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</si>
  <si>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</si>
  <si>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</si>
  <si>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</si>
  <si>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</si>
  <si>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</si>
  <si>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</si>
  <si>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</si>
  <si>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</si>
  <si>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</si>
  <si>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</si>
  <si>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</si>
  <si>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</si>
  <si>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</si>
  <si>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</si>
  <si>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</si>
  <si>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</si>
  <si>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</si>
  <si>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</si>
  <si>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</si>
  <si>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</si>
  <si>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</si>
  <si>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</si>
  <si>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 xml:space="preserve">Cálculo de la Distribución del Ajuste Definitivo 2017 del Fondo de Fomento Municipal </t>
  </si>
  <si>
    <t>Municipios</t>
  </si>
  <si>
    <t>Distribucion x</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</si>
  <si>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</si>
  <si>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</si>
  <si>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</si>
  <si>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</si>
  <si>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</si>
  <si>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</si>
  <si>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</si>
  <si>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</si>
  <si>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</si>
  <si>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</si>
  <si>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</si>
  <si>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</si>
  <si>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</si>
  <si>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</si>
  <si>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</si>
  <si>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</si>
  <si>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</si>
  <si>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</si>
  <si>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</si>
  <si>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</si>
  <si>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</si>
  <si>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</si>
  <si>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</si>
  <si>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</si>
  <si>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</si>
  <si>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</si>
  <si>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</si>
  <si>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</si>
  <si>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</si>
  <si>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</si>
  <si>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</si>
  <si>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</si>
  <si>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Cálculo de la Distribución del Ajuste Definitivo 2017 del Impuesto Especial Sobre Producción y Servicios</t>
  </si>
  <si>
    <t>Factor de Distribucion 2017</t>
  </si>
  <si>
    <t xml:space="preserve">Cálculo de la Distribución del Ajuste Definitivo 2017 del Fondo de Fiscalización y Recaudación </t>
  </si>
  <si>
    <t xml:space="preserve">Recaudacion Predial y Agua </t>
  </si>
  <si>
    <t>Esfuerzo Recaudatorio</t>
  </si>
  <si>
    <t xml:space="preserve">Población </t>
  </si>
  <si>
    <t>Resultado</t>
  </si>
  <si>
    <t xml:space="preserve">Coeficiente de </t>
  </si>
  <si>
    <t xml:space="preserve">Variación por </t>
  </si>
  <si>
    <t xml:space="preserve">Participacion </t>
  </si>
  <si>
    <t>Ultimo Ejercicio</t>
  </si>
  <si>
    <t>(4) = (2*3)</t>
  </si>
  <si>
    <t>(5=(4/∑4)100)</t>
  </si>
  <si>
    <t>modificado</t>
  </si>
  <si>
    <t>Recaudación Federal Participable Aplicable para el Calculo de las Participaciones a los Municipios</t>
  </si>
  <si>
    <t>Mes de:                          Enero             2018</t>
  </si>
  <si>
    <t>Ajuste Definitivo 2017</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</si>
  <si>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</si>
  <si>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</si>
  <si>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</si>
  <si>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</si>
  <si>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</si>
  <si>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</si>
  <si>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</si>
  <si>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</si>
  <si>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</si>
  <si>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</si>
  <si>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</si>
  <si>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</si>
  <si>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</si>
  <si>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</si>
  <si>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</si>
  <si>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</si>
  <si>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</si>
  <si>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</si>
  <si>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</si>
  <si>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</si>
  <si>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</si>
  <si>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</si>
  <si>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</si>
  <si>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Dif FOFIR</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</si>
  <si>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</si>
  <si>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</si>
  <si>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</si>
  <si>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</si>
  <si>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</si>
  <si>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</si>
  <si>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</si>
  <si>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</si>
  <si>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</si>
  <si>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</si>
  <si>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</si>
  <si>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</si>
  <si>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</si>
  <si>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</si>
  <si>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</si>
  <si>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</si>
  <si>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</si>
  <si>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</si>
  <si>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</si>
  <si>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</si>
  <si>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</si>
  <si>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</si>
  <si>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</si>
  <si>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</si>
  <si>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</si>
  <si>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</si>
  <si>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</si>
  <si>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</si>
  <si>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</si>
  <si>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</si>
  <si>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</si>
  <si>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</si>
  <si>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MUNICIPIO</t>
  </si>
  <si>
    <t>PREDIAL</t>
  </si>
  <si>
    <t>AGUA</t>
  </si>
  <si>
    <t>esfuerzo recaudatorio</t>
  </si>
  <si>
    <t xml:space="preserve">ACAPONETA </t>
  </si>
  <si>
    <t>BAHÍA DE BANDERAS</t>
  </si>
  <si>
    <t>DEL NAYAR</t>
  </si>
  <si>
    <t>SAN PEDRO LAG.</t>
  </si>
  <si>
    <t>STA. MARIA DEL ORO</t>
  </si>
  <si>
    <t xml:space="preserve"> Encuesta Intercensal  de Población y Vivienda  2015</t>
  </si>
  <si>
    <t>poblacion                                2010</t>
  </si>
  <si>
    <t>fuente:</t>
  </si>
  <si>
    <t>Encuesta Intercensal 2015 Publicada en el Portal del INEGI 08 de Dic 2015</t>
  </si>
  <si>
    <r>
      <rPr>
        <b/>
        <sz val="11"/>
        <color theme="1"/>
        <rFont val="Arial"/>
        <family val="2"/>
      </rPr>
      <t>Fuente:</t>
    </r>
    <r>
      <rPr>
        <sz val="11"/>
        <color theme="1"/>
        <rFont val="Arial"/>
        <family val="2"/>
      </rPr>
      <t xml:space="preserve"> Aviso de pago de participaciones oficio No. 351-A-DGPA-C-2315    UCEF</t>
    </r>
  </si>
  <si>
    <r>
      <rPr>
        <b/>
        <sz val="11"/>
        <color theme="1"/>
        <rFont val="Arial"/>
        <family val="2"/>
      </rPr>
      <t xml:space="preserve">Fuente: </t>
    </r>
    <r>
      <rPr>
        <sz val="11"/>
        <color theme="1"/>
        <rFont val="Arial"/>
        <family val="2"/>
      </rPr>
      <t>Aviso de pago de participaciones oficio No. 351-A-DGPA-C-2315    UCEF</t>
    </r>
  </si>
  <si>
    <t>De conformidad al acuerdo 02/2014 por lo que se expiden los lineamientos para la publicación a que se refiere el artículo 6o. de la Ley de Coordinación Fiscal, numeral III inciso e). El Tercer Ajuste Cuatrimestral 2017 se participó en el mes de Febrero de 2018 y  el Ajuste Definitivo 2017 se participó en el mes de mayo FFM, IEPS y el correspondiente al FGP se descontará en el mes de junio 2018</t>
  </si>
  <si>
    <r>
      <rPr>
        <b/>
        <sz val="11"/>
        <color theme="1"/>
        <rFont val="Arial"/>
        <family val="2"/>
      </rPr>
      <t>Fuente:</t>
    </r>
    <r>
      <rPr>
        <sz val="11"/>
        <color theme="1"/>
        <rFont val="Arial"/>
        <family val="2"/>
      </rPr>
      <t xml:space="preserve"> Aviso de pago de participaciones oficio No. 351-A-DGPA-C-2315 UCEF</t>
    </r>
  </si>
  <si>
    <r>
      <rPr>
        <b/>
        <sz val="11"/>
        <color theme="1"/>
        <rFont val="Arial"/>
        <family val="2"/>
      </rPr>
      <t xml:space="preserve">Fuente: </t>
    </r>
    <r>
      <rPr>
        <sz val="11"/>
        <color theme="1"/>
        <rFont val="Arial"/>
        <family val="2"/>
      </rPr>
      <t>Aviso de pago de participaciones Oficio No. 351-A-DGPA-C-2381 UCEF</t>
    </r>
  </si>
  <si>
    <t>De conformidad al acuerdo 02/2014 por lo que se expiden los lineamientos para la publicación a que se refiere el artículo 6o. de la Ley de Coordinación Fiscal, numeral III inciso e). El Ajuste Definitivo 2017 correspondiente al FFM(-) y al IEPS(+) se participó en el mes de mayo 2018 y el correspondiente al FGP se afectará en el mes de junio 2018.</t>
  </si>
  <si>
    <t>Total a Distribuir del Ajuste Definitivo 2017</t>
  </si>
  <si>
    <t>Predial y Agua</t>
  </si>
  <si>
    <t xml:space="preserve"> Rec. de Predial y Agua</t>
  </si>
  <si>
    <t>x Población</t>
  </si>
  <si>
    <t>Distribución</t>
  </si>
  <si>
    <t>Habitantes</t>
  </si>
  <si>
    <t>Distribución del Ajuste Definitivo 2017</t>
  </si>
  <si>
    <t>Distribución Total del Ajuste Definitivo 2017 del IEPS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</si>
  <si>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</si>
  <si>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</si>
  <si>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</si>
  <si>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</si>
  <si>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</si>
  <si>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</si>
  <si>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</si>
  <si>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</si>
  <si>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Porcentaje que epresenta la Inversa Proporcional         (14)</t>
  </si>
  <si>
    <t>Coeficiente  Resarcitorio Efectivo       10%</t>
  </si>
  <si>
    <t>Correspondiente al 10% del Crecimiento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</si>
</sst>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s>
  <fonts count="32" x14ac:knownFonts="1">
    <font>
      <sz val="12"/>
      <color theme="1"/>
      <name val="Arial"/>
      <family val="2"/>
    </font>
    <font>
      <sz val="11"/>
      <color theme="1"/>
      <name val="Calibri"/>
      <family val="2"/>
      <scheme val="minor"/>
    </font>
    <font>
      <sz val="10"/>
      <name val="Arial"/>
      <family val="2"/>
    </font>
    <font>
      <sz val="10"/>
      <name val="Arial"/>
      <family val="2"/>
    </font>
    <font>
      <b/>
      <sz val="13"/>
      <name val="Britannic Bold"/>
      <family val="2"/>
    </font>
    <font>
      <b/>
      <sz val="12"/>
      <name val="Britannic Bold"/>
      <family val="2"/>
    </font>
    <font>
      <b/>
      <sz val="11"/>
      <name val="Britannic Bold"/>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b/>
      <sz val="13"/>
      <name val="Arial"/>
      <family val="2"/>
    </font>
    <font>
      <b/>
      <sz val="12"/>
      <name val="Arial"/>
      <family val="2"/>
    </font>
    <font>
      <b/>
      <sz val="11"/>
      <name val="Arial"/>
      <family val="2"/>
    </font>
    <font>
      <b/>
      <sz val="10"/>
      <name val="Britannic Bold"/>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4"/>
      <color theme="1"/>
      <name val="Arial"/>
      <family val="2"/>
    </font>
    <font>
      <sz val="14"/>
      <name val="Arial"/>
      <family val="2"/>
    </font>
    <font>
      <b/>
      <sz val="14"/>
      <color theme="1"/>
      <name val="Arial"/>
      <family val="2"/>
    </font>
    <font>
      <b/>
      <sz val="14"/>
      <color theme="1"/>
      <name val="Calibri"/>
      <family val="2"/>
      <scheme val="minor"/>
    </font>
    <font>
      <sz val="11"/>
      <color rgb="FF000000"/>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2"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2" fillId="0" borderId="0" applyFont="0" applyFill="0" applyBorder="0" applyAlignment="0" applyProtection="0"/>
    <xf numFmtId="0" fontId="1" fillId="0" borderId="0"/>
    <xf numFmtId="44" fontId="1" fillId="0" borderId="0" applyFont="0" applyFill="0" applyBorder="0" applyAlignment="0" applyProtection="0"/>
  </cellStyleXfs>
  <cellXfs count="454">
    <xf numFmtId="0" fontId="0" fillId="0" borderId="0" xfId="0"/>
    <xf numFmtId="0" fontId="8" fillId="0" borderId="0" xfId="0" applyFont="1"/>
    <xf numFmtId="0" fontId="9" fillId="0" borderId="6" xfId="3" applyFont="1" applyBorder="1" applyAlignment="1">
      <alignment vertical="center"/>
    </xf>
    <xf numFmtId="0" fontId="9" fillId="0" borderId="12" xfId="3" applyFont="1" applyBorder="1" applyAlignment="1">
      <alignment vertical="center"/>
    </xf>
    <xf numFmtId="0" fontId="9" fillId="0" borderId="9" xfId="3" applyFont="1" applyBorder="1" applyAlignment="1">
      <alignment vertical="center"/>
    </xf>
    <xf numFmtId="0" fontId="10" fillId="0" borderId="0" xfId="0" applyFont="1" applyAlignment="1">
      <alignment horizontal="right"/>
    </xf>
    <xf numFmtId="0" fontId="8" fillId="0" borderId="0" xfId="0" applyFont="1" applyAlignment="1">
      <alignment horizontal="center" vertical="center"/>
    </xf>
    <xf numFmtId="4" fontId="8" fillId="0" borderId="0" xfId="0" applyNumberFormat="1" applyFont="1"/>
    <xf numFmtId="10" fontId="8" fillId="0" borderId="0" xfId="0" applyNumberFormat="1" applyFont="1"/>
    <xf numFmtId="0" fontId="9" fillId="0" borderId="0" xfId="3" applyFont="1" applyBorder="1" applyAlignment="1">
      <alignment vertical="center"/>
    </xf>
    <xf numFmtId="4" fontId="8" fillId="0" borderId="0" xfId="0" applyNumberFormat="1" applyFont="1" applyBorder="1"/>
    <xf numFmtId="4" fontId="8" fillId="0" borderId="0" xfId="0" applyNumberFormat="1" applyFont="1" applyFill="1"/>
    <xf numFmtId="3" fontId="8" fillId="0" borderId="7" xfId="0" applyNumberFormat="1" applyFont="1" applyBorder="1"/>
    <xf numFmtId="3" fontId="8" fillId="0" borderId="2" xfId="0" applyNumberFormat="1" applyFont="1" applyBorder="1"/>
    <xf numFmtId="3" fontId="8" fillId="0" borderId="10" xfId="0" applyNumberFormat="1" applyFont="1" applyBorder="1"/>
    <xf numFmtId="3" fontId="8" fillId="0" borderId="8" xfId="0" applyNumberFormat="1" applyFont="1" applyBorder="1" applyAlignment="1">
      <alignment horizontal="right"/>
    </xf>
    <xf numFmtId="3" fontId="8" fillId="0" borderId="13" xfId="0" applyNumberFormat="1" applyFont="1" applyBorder="1" applyAlignment="1">
      <alignment horizontal="right"/>
    </xf>
    <xf numFmtId="3" fontId="8" fillId="0" borderId="11" xfId="0" applyNumberFormat="1" applyFont="1" applyBorder="1" applyAlignment="1">
      <alignment horizontal="right"/>
    </xf>
    <xf numFmtId="0" fontId="2" fillId="0" borderId="6" xfId="3" applyFont="1" applyBorder="1" applyAlignment="1">
      <alignment vertical="center"/>
    </xf>
    <xf numFmtId="165" fontId="12" fillId="0" borderId="7" xfId="0" applyNumberFormat="1" applyFont="1" applyBorder="1" applyAlignment="1">
      <alignment horizontal="center"/>
    </xf>
    <xf numFmtId="3" fontId="12" fillId="0" borderId="7" xfId="0" applyNumberFormat="1" applyFont="1" applyBorder="1"/>
    <xf numFmtId="165" fontId="12" fillId="0" borderId="7" xfId="0" applyNumberFormat="1" applyFont="1" applyFill="1" applyBorder="1" applyAlignment="1">
      <alignment horizontal="center"/>
    </xf>
    <xf numFmtId="3" fontId="12" fillId="0" borderId="7" xfId="0" applyNumberFormat="1" applyFont="1" applyFill="1" applyBorder="1"/>
    <xf numFmtId="3" fontId="12" fillId="0" borderId="8" xfId="0" applyNumberFormat="1" applyFont="1" applyBorder="1"/>
    <xf numFmtId="0" fontId="2" fillId="0" borderId="12" xfId="3" applyFont="1" applyBorder="1" applyAlignment="1">
      <alignment vertical="center"/>
    </xf>
    <xf numFmtId="165" fontId="12" fillId="0" borderId="2" xfId="0" applyNumberFormat="1" applyFont="1" applyBorder="1" applyAlignment="1">
      <alignment horizontal="center"/>
    </xf>
    <xf numFmtId="3" fontId="12" fillId="0" borderId="2" xfId="0" applyNumberFormat="1" applyFont="1" applyBorder="1"/>
    <xf numFmtId="165" fontId="12" fillId="0" borderId="2" xfId="0" applyNumberFormat="1" applyFont="1" applyFill="1" applyBorder="1" applyAlignment="1">
      <alignment horizontal="center"/>
    </xf>
    <xf numFmtId="3" fontId="12" fillId="0" borderId="2" xfId="0" applyNumberFormat="1" applyFont="1" applyFill="1" applyBorder="1"/>
    <xf numFmtId="3" fontId="12" fillId="0" borderId="13" xfId="0" applyNumberFormat="1" applyFont="1" applyBorder="1"/>
    <xf numFmtId="0" fontId="2" fillId="0" borderId="9" xfId="3" applyFont="1" applyBorder="1" applyAlignment="1">
      <alignment vertical="center"/>
    </xf>
    <xf numFmtId="165" fontId="12" fillId="0" borderId="10" xfId="0" applyNumberFormat="1" applyFont="1" applyBorder="1" applyAlignment="1">
      <alignment horizontal="center"/>
    </xf>
    <xf numFmtId="3" fontId="12" fillId="0" borderId="10" xfId="0" applyNumberFormat="1" applyFont="1" applyBorder="1"/>
    <xf numFmtId="165" fontId="12" fillId="0" borderId="10" xfId="0" applyNumberFormat="1" applyFont="1" applyFill="1" applyBorder="1" applyAlignment="1">
      <alignment horizontal="center"/>
    </xf>
    <xf numFmtId="3" fontId="12" fillId="0" borderId="10" xfId="0" applyNumberFormat="1" applyFont="1" applyFill="1" applyBorder="1"/>
    <xf numFmtId="3" fontId="12" fillId="0" borderId="11" xfId="0" applyNumberFormat="1" applyFont="1" applyBorder="1"/>
    <xf numFmtId="0" fontId="12" fillId="0" borderId="0" xfId="0" applyFont="1"/>
    <xf numFmtId="4" fontId="12" fillId="0" borderId="0" xfId="0" applyNumberFormat="1" applyFont="1"/>
    <xf numFmtId="0" fontId="2" fillId="0" borderId="0" xfId="3" applyFont="1" applyBorder="1" applyAlignment="1">
      <alignment vertical="center"/>
    </xf>
    <xf numFmtId="0" fontId="11" fillId="0" borderId="0" xfId="0" applyFont="1" applyBorder="1" applyAlignment="1"/>
    <xf numFmtId="4" fontId="12" fillId="0" borderId="0" xfId="0" applyNumberFormat="1" applyFont="1" applyBorder="1"/>
    <xf numFmtId="0" fontId="11" fillId="0" borderId="0" xfId="0" applyFont="1" applyAlignment="1"/>
    <xf numFmtId="0" fontId="12" fillId="0" borderId="0" xfId="0" applyFont="1" applyBorder="1"/>
    <xf numFmtId="4" fontId="12" fillId="0" borderId="0" xfId="0" applyNumberFormat="1" applyFont="1" applyBorder="1" applyAlignment="1">
      <alignment horizontal="right"/>
    </xf>
    <xf numFmtId="0" fontId="11" fillId="0" borderId="0" xfId="0" applyFont="1" applyAlignment="1">
      <alignment horizontal="center"/>
    </xf>
    <xf numFmtId="0" fontId="11" fillId="0" borderId="0" xfId="0" applyFont="1" applyAlignment="1">
      <alignment horizontal="right"/>
    </xf>
    <xf numFmtId="3" fontId="12" fillId="0" borderId="21" xfId="0" applyNumberFormat="1" applyFont="1" applyBorder="1"/>
    <xf numFmtId="3" fontId="12" fillId="0" borderId="18" xfId="0" applyNumberFormat="1" applyFont="1" applyBorder="1"/>
    <xf numFmtId="3" fontId="12" fillId="0" borderId="0" xfId="0" applyNumberFormat="1" applyFont="1"/>
    <xf numFmtId="165" fontId="12" fillId="0" borderId="25" xfId="0" applyNumberFormat="1" applyFont="1" applyBorder="1" applyAlignment="1">
      <alignment horizontal="center"/>
    </xf>
    <xf numFmtId="165" fontId="12" fillId="0" borderId="26" xfId="0" applyNumberFormat="1" applyFont="1" applyBorder="1" applyAlignment="1">
      <alignment horizontal="center"/>
    </xf>
    <xf numFmtId="0" fontId="2" fillId="0" borderId="27" xfId="3" applyFont="1" applyBorder="1" applyAlignment="1">
      <alignment vertical="center"/>
    </xf>
    <xf numFmtId="165" fontId="12" fillId="0" borderId="28" xfId="0" applyNumberFormat="1" applyFont="1" applyBorder="1" applyAlignment="1">
      <alignment horizontal="center"/>
    </xf>
    <xf numFmtId="3" fontId="12" fillId="0" borderId="28" xfId="0" applyNumberFormat="1" applyFont="1" applyBorder="1"/>
    <xf numFmtId="165" fontId="12" fillId="0" borderId="28" xfId="0" applyNumberFormat="1" applyFont="1" applyFill="1" applyBorder="1" applyAlignment="1">
      <alignment horizontal="center"/>
    </xf>
    <xf numFmtId="3" fontId="12" fillId="0" borderId="28" xfId="0" applyNumberFormat="1" applyFont="1" applyFill="1" applyBorder="1"/>
    <xf numFmtId="165" fontId="12" fillId="0" borderId="29" xfId="0" applyNumberFormat="1" applyFont="1" applyBorder="1" applyAlignment="1">
      <alignment horizont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3" xfId="0" applyFont="1" applyFill="1" applyBorder="1"/>
    <xf numFmtId="165" fontId="11" fillId="0" borderId="4" xfId="0" applyNumberFormat="1" applyFont="1" applyFill="1" applyBorder="1" applyAlignment="1">
      <alignment horizontal="center"/>
    </xf>
    <xf numFmtId="3" fontId="11" fillId="0" borderId="4" xfId="0" applyNumberFormat="1" applyFont="1" applyFill="1" applyBorder="1" applyAlignment="1">
      <alignment horizontal="center"/>
    </xf>
    <xf numFmtId="3" fontId="11" fillId="0" borderId="5" xfId="0" applyNumberFormat="1" applyFont="1" applyFill="1" applyBorder="1"/>
    <xf numFmtId="0" fontId="11" fillId="0" borderId="10"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165" fontId="11" fillId="0" borderId="20" xfId="0" applyNumberFormat="1" applyFont="1" applyFill="1" applyBorder="1" applyAlignment="1">
      <alignment horizontal="center"/>
    </xf>
    <xf numFmtId="3" fontId="11" fillId="0" borderId="19" xfId="0" applyNumberFormat="1" applyFont="1" applyFill="1" applyBorder="1"/>
    <xf numFmtId="0" fontId="10" fillId="0" borderId="3" xfId="0" applyFont="1" applyFill="1" applyBorder="1"/>
    <xf numFmtId="3" fontId="10" fillId="0" borderId="4" xfId="0" applyNumberFormat="1" applyFont="1" applyFill="1" applyBorder="1" applyAlignment="1">
      <alignment horizontal="right"/>
    </xf>
    <xf numFmtId="3" fontId="10" fillId="0" borderId="5" xfId="0" applyNumberFormat="1" applyFont="1" applyFill="1" applyBorder="1" applyAlignment="1">
      <alignment horizontal="right"/>
    </xf>
    <xf numFmtId="3" fontId="11" fillId="0" borderId="0" xfId="0" applyNumberFormat="1" applyFont="1" applyAlignment="1">
      <alignment horizontal="center"/>
    </xf>
    <xf numFmtId="0" fontId="8" fillId="0" borderId="0" xfId="6" applyFont="1"/>
    <xf numFmtId="0" fontId="1" fillId="0" borderId="0" xfId="6" applyAlignment="1">
      <alignment horizontal="center"/>
    </xf>
    <xf numFmtId="0" fontId="1" fillId="0" borderId="0" xfId="6"/>
    <xf numFmtId="0" fontId="10" fillId="0" borderId="0" xfId="6" applyFont="1" applyAlignment="1">
      <alignment horizontal="center"/>
    </xf>
    <xf numFmtId="0" fontId="10" fillId="0" borderId="35" xfId="6" applyFont="1" applyBorder="1" applyAlignment="1">
      <alignment horizontal="center" vertical="center" wrapText="1"/>
    </xf>
    <xf numFmtId="0" fontId="19" fillId="0" borderId="31" xfId="6" applyFont="1" applyFill="1" applyBorder="1" applyAlignment="1">
      <alignment horizontal="center"/>
    </xf>
    <xf numFmtId="0" fontId="19" fillId="0" borderId="35" xfId="6" applyFont="1" applyFill="1" applyBorder="1" applyAlignment="1">
      <alignment horizontal="center"/>
    </xf>
    <xf numFmtId="0" fontId="19" fillId="0" borderId="37" xfId="6" applyFont="1" applyFill="1" applyBorder="1" applyAlignment="1">
      <alignment horizontal="center"/>
    </xf>
    <xf numFmtId="0" fontId="19" fillId="0" borderId="39" xfId="6" applyFont="1" applyFill="1" applyBorder="1" applyAlignment="1">
      <alignment horizontal="center"/>
    </xf>
    <xf numFmtId="9" fontId="19" fillId="0" borderId="39" xfId="6" applyNumberFormat="1" applyFont="1" applyFill="1" applyBorder="1" applyAlignment="1">
      <alignment horizontal="center"/>
    </xf>
    <xf numFmtId="3" fontId="19" fillId="0" borderId="37" xfId="6" applyNumberFormat="1" applyFont="1" applyFill="1" applyBorder="1" applyAlignment="1">
      <alignment horizontal="center"/>
    </xf>
    <xf numFmtId="3" fontId="19" fillId="0" borderId="39" xfId="6" applyNumberFormat="1" applyFont="1" applyFill="1" applyBorder="1" applyAlignment="1">
      <alignment horizontal="center"/>
    </xf>
    <xf numFmtId="49" fontId="19" fillId="0" borderId="40" xfId="6" applyNumberFormat="1" applyFont="1" applyFill="1" applyBorder="1" applyAlignment="1">
      <alignment horizontal="center"/>
    </xf>
    <xf numFmtId="49" fontId="19" fillId="0" borderId="43" xfId="6" applyNumberFormat="1" applyFont="1" applyFill="1" applyBorder="1" applyAlignment="1">
      <alignment horizontal="center"/>
    </xf>
    <xf numFmtId="49" fontId="19" fillId="0" borderId="43" xfId="6" applyNumberFormat="1" applyFont="1" applyBorder="1" applyAlignment="1">
      <alignment horizontal="center" vertical="center" wrapText="1"/>
    </xf>
    <xf numFmtId="49" fontId="21" fillId="0" borderId="44" xfId="6" applyNumberFormat="1" applyFont="1" applyFill="1" applyBorder="1" applyAlignment="1">
      <alignment horizontal="center" vertical="center" wrapText="1"/>
    </xf>
    <xf numFmtId="0" fontId="19" fillId="0" borderId="43" xfId="6" applyFont="1" applyBorder="1" applyAlignment="1">
      <alignment vertical="center" wrapText="1"/>
    </xf>
    <xf numFmtId="0" fontId="17" fillId="0" borderId="45" xfId="6" applyFont="1" applyFill="1" applyBorder="1"/>
    <xf numFmtId="3" fontId="17" fillId="0" borderId="27" xfId="6" applyNumberFormat="1" applyFont="1" applyFill="1" applyBorder="1"/>
    <xf numFmtId="166" fontId="17" fillId="0" borderId="28" xfId="6" applyNumberFormat="1" applyFont="1" applyFill="1" applyBorder="1"/>
    <xf numFmtId="165" fontId="17" fillId="0" borderId="28" xfId="6" applyNumberFormat="1" applyFont="1" applyFill="1" applyBorder="1"/>
    <xf numFmtId="167" fontId="17" fillId="0" borderId="21" xfId="6" applyNumberFormat="1" applyFont="1" applyFill="1" applyBorder="1" applyAlignment="1">
      <alignment horizontal="right"/>
    </xf>
    <xf numFmtId="167" fontId="17" fillId="0" borderId="27" xfId="6" applyNumberFormat="1" applyFont="1" applyFill="1" applyBorder="1" applyAlignment="1">
      <alignment horizontal="right"/>
    </xf>
    <xf numFmtId="167" fontId="17" fillId="0" borderId="28" xfId="6" applyNumberFormat="1" applyFont="1" applyFill="1" applyBorder="1" applyAlignment="1">
      <alignment horizontal="right"/>
    </xf>
    <xf numFmtId="3" fontId="17" fillId="0" borderId="21" xfId="6" applyNumberFormat="1" applyFont="1" applyFill="1" applyBorder="1"/>
    <xf numFmtId="167" fontId="17" fillId="0" borderId="46" xfId="6" applyNumberFormat="1" applyFont="1" applyFill="1" applyBorder="1"/>
    <xf numFmtId="3" fontId="17" fillId="0" borderId="29" xfId="6" applyNumberFormat="1" applyFont="1" applyFill="1" applyBorder="1"/>
    <xf numFmtId="167" fontId="17" fillId="0" borderId="47" xfId="6" applyNumberFormat="1" applyFont="1" applyFill="1" applyBorder="1"/>
    <xf numFmtId="165" fontId="1" fillId="0" borderId="36" xfId="6" applyNumberFormat="1" applyFill="1" applyBorder="1"/>
    <xf numFmtId="3" fontId="1" fillId="0" borderId="0" xfId="6" applyNumberFormat="1" applyFill="1"/>
    <xf numFmtId="165" fontId="1" fillId="0" borderId="0" xfId="6" applyNumberFormat="1" applyFill="1"/>
    <xf numFmtId="0" fontId="1" fillId="0" borderId="0" xfId="6" applyFill="1"/>
    <xf numFmtId="166" fontId="17" fillId="0" borderId="2" xfId="6" applyNumberFormat="1" applyFont="1" applyFill="1" applyBorder="1"/>
    <xf numFmtId="167" fontId="17" fillId="0" borderId="36" xfId="6" applyNumberFormat="1" applyFont="1" applyFill="1" applyBorder="1"/>
    <xf numFmtId="0" fontId="17" fillId="0" borderId="48" xfId="6" applyFont="1" applyFill="1" applyBorder="1"/>
    <xf numFmtId="3" fontId="17" fillId="0" borderId="9" xfId="6" applyNumberFormat="1" applyFont="1" applyFill="1" applyBorder="1"/>
    <xf numFmtId="166" fontId="17" fillId="0" borderId="15" xfId="6" applyNumberFormat="1" applyFont="1" applyFill="1" applyBorder="1"/>
    <xf numFmtId="165" fontId="17" fillId="0" borderId="15" xfId="6" applyNumberFormat="1" applyFont="1" applyFill="1" applyBorder="1"/>
    <xf numFmtId="167" fontId="17" fillId="0" borderId="11" xfId="6" applyNumberFormat="1" applyFont="1" applyFill="1" applyBorder="1" applyAlignment="1">
      <alignment horizontal="right"/>
    </xf>
    <xf numFmtId="167" fontId="17" fillId="0" borderId="9" xfId="6" applyNumberFormat="1" applyFont="1" applyFill="1" applyBorder="1" applyAlignment="1">
      <alignment horizontal="right"/>
    </xf>
    <xf numFmtId="167" fontId="17" fillId="0" borderId="10" xfId="6" applyNumberFormat="1" applyFont="1" applyFill="1" applyBorder="1" applyAlignment="1">
      <alignment horizontal="right"/>
    </xf>
    <xf numFmtId="166" fontId="17" fillId="0" borderId="10" xfId="6" applyNumberFormat="1" applyFont="1" applyFill="1" applyBorder="1"/>
    <xf numFmtId="3" fontId="17" fillId="0" borderId="11" xfId="6" applyNumberFormat="1" applyFont="1" applyFill="1" applyBorder="1"/>
    <xf numFmtId="167" fontId="17" fillId="0" borderId="49" xfId="6" applyNumberFormat="1" applyFont="1" applyFill="1" applyBorder="1"/>
    <xf numFmtId="3" fontId="17" fillId="0" borderId="50" xfId="6" applyNumberFormat="1" applyFont="1" applyFill="1" applyBorder="1"/>
    <xf numFmtId="0" fontId="18" fillId="0" borderId="43" xfId="6" applyFont="1" applyFill="1" applyBorder="1"/>
    <xf numFmtId="3" fontId="18" fillId="0" borderId="50" xfId="6" applyNumberFormat="1" applyFont="1" applyFill="1" applyBorder="1"/>
    <xf numFmtId="166" fontId="18" fillId="0" borderId="19" xfId="6" applyNumberFormat="1" applyFont="1" applyFill="1" applyBorder="1"/>
    <xf numFmtId="167" fontId="18" fillId="0" borderId="43" xfId="6" applyNumberFormat="1" applyFont="1" applyFill="1" applyBorder="1" applyAlignment="1">
      <alignment horizontal="right"/>
    </xf>
    <xf numFmtId="166" fontId="18" fillId="0" borderId="40" xfId="6" applyNumberFormat="1" applyFont="1" applyFill="1" applyBorder="1"/>
    <xf numFmtId="165" fontId="18" fillId="0" borderId="43" xfId="6" applyNumberFormat="1" applyFont="1" applyFill="1" applyBorder="1"/>
    <xf numFmtId="3" fontId="18" fillId="0" borderId="43" xfId="6" applyNumberFormat="1" applyFont="1" applyFill="1" applyBorder="1"/>
    <xf numFmtId="167" fontId="18" fillId="0" borderId="43" xfId="6" applyNumberFormat="1" applyFont="1" applyFill="1" applyBorder="1"/>
    <xf numFmtId="165" fontId="18" fillId="0" borderId="40" xfId="6" applyNumberFormat="1" applyFont="1" applyFill="1" applyBorder="1"/>
    <xf numFmtId="3" fontId="18" fillId="0" borderId="19" xfId="6" applyNumberFormat="1" applyFont="1" applyFill="1" applyBorder="1"/>
    <xf numFmtId="0" fontId="8" fillId="0" borderId="0" xfId="6" applyFont="1" applyBorder="1" applyAlignment="1">
      <alignment horizontal="left" vertical="center"/>
    </xf>
    <xf numFmtId="3" fontId="18" fillId="0" borderId="0" xfId="6" applyNumberFormat="1" applyFont="1" applyFill="1" applyBorder="1"/>
    <xf numFmtId="166" fontId="18" fillId="0" borderId="0" xfId="6" applyNumberFormat="1" applyFont="1" applyFill="1" applyBorder="1"/>
    <xf numFmtId="168" fontId="18" fillId="0" borderId="0" xfId="6" applyNumberFormat="1" applyFont="1" applyFill="1" applyBorder="1"/>
    <xf numFmtId="167" fontId="18" fillId="0" borderId="0" xfId="6" applyNumberFormat="1" applyFont="1" applyFill="1" applyBorder="1" applyAlignment="1">
      <alignment horizontal="right"/>
    </xf>
    <xf numFmtId="165" fontId="18" fillId="0" borderId="0" xfId="6" applyNumberFormat="1" applyFont="1" applyFill="1" applyBorder="1"/>
    <xf numFmtId="167" fontId="18" fillId="0" borderId="0" xfId="6" applyNumberFormat="1" applyFont="1" applyFill="1" applyBorder="1"/>
    <xf numFmtId="0" fontId="8" fillId="0" borderId="0" xfId="6" applyFont="1" applyAlignment="1"/>
    <xf numFmtId="3" fontId="1" fillId="0" borderId="0" xfId="6" applyNumberFormat="1"/>
    <xf numFmtId="0" fontId="10" fillId="0" borderId="53" xfId="6" applyFont="1" applyFill="1" applyBorder="1" applyAlignment="1">
      <alignment wrapText="1"/>
    </xf>
    <xf numFmtId="0" fontId="10" fillId="0" borderId="0" xfId="6" applyFont="1" applyFill="1" applyBorder="1" applyAlignment="1">
      <alignment horizontal="center"/>
    </xf>
    <xf numFmtId="0" fontId="10" fillId="0" borderId="31" xfId="6" applyFont="1" applyFill="1" applyBorder="1" applyAlignment="1">
      <alignment horizontal="center"/>
    </xf>
    <xf numFmtId="0" fontId="10" fillId="0" borderId="35" xfId="6" applyFont="1" applyFill="1" applyBorder="1" applyAlignment="1">
      <alignment horizontal="center" wrapText="1"/>
    </xf>
    <xf numFmtId="0" fontId="10" fillId="0" borderId="35" xfId="6" applyFont="1" applyFill="1" applyBorder="1" applyAlignment="1"/>
    <xf numFmtId="0" fontId="10" fillId="0" borderId="0" xfId="6" applyFont="1" applyFill="1" applyBorder="1" applyAlignment="1"/>
    <xf numFmtId="0" fontId="10" fillId="0" borderId="37" xfId="6" applyFont="1" applyFill="1" applyBorder="1" applyAlignment="1">
      <alignment horizontal="center"/>
    </xf>
    <xf numFmtId="0" fontId="10" fillId="0" borderId="39" xfId="6" applyFont="1" applyFill="1" applyBorder="1" applyAlignment="1">
      <alignment horizontal="center"/>
    </xf>
    <xf numFmtId="9" fontId="10" fillId="0" borderId="0" xfId="6" applyNumberFormat="1" applyFont="1" applyFill="1" applyBorder="1" applyAlignment="1">
      <alignment horizontal="center"/>
    </xf>
    <xf numFmtId="49" fontId="10" fillId="0" borderId="51" xfId="6" applyNumberFormat="1" applyFont="1" applyFill="1" applyBorder="1" applyAlignment="1">
      <alignment horizontal="center"/>
    </xf>
    <xf numFmtId="49" fontId="10" fillId="0" borderId="40" xfId="6" applyNumberFormat="1" applyFont="1" applyFill="1" applyBorder="1" applyAlignment="1">
      <alignment horizontal="center"/>
    </xf>
    <xf numFmtId="49" fontId="10" fillId="0" borderId="47" xfId="6" applyNumberFormat="1" applyFont="1" applyFill="1" applyBorder="1" applyAlignment="1">
      <alignment horizontal="center"/>
    </xf>
    <xf numFmtId="49" fontId="10" fillId="0" borderId="3" xfId="6" applyNumberFormat="1" applyFont="1" applyFill="1" applyBorder="1" applyAlignment="1">
      <alignment horizontal="center"/>
    </xf>
    <xf numFmtId="49" fontId="10" fillId="0" borderId="5" xfId="6" applyNumberFormat="1" applyFont="1" applyFill="1" applyBorder="1" applyAlignment="1">
      <alignment horizontal="center"/>
    </xf>
    <xf numFmtId="49" fontId="10" fillId="0" borderId="49" xfId="6" applyNumberFormat="1" applyFont="1" applyFill="1" applyBorder="1" applyAlignment="1">
      <alignment horizontal="center"/>
    </xf>
    <xf numFmtId="49" fontId="8" fillId="0" borderId="50" xfId="6" applyNumberFormat="1" applyFont="1" applyFill="1" applyBorder="1" applyAlignment="1">
      <alignment horizontal="center"/>
    </xf>
    <xf numFmtId="49" fontId="10" fillId="0" borderId="54" xfId="6" applyNumberFormat="1" applyFont="1" applyFill="1" applyBorder="1" applyAlignment="1">
      <alignment horizontal="center"/>
    </xf>
    <xf numFmtId="49" fontId="10" fillId="0" borderId="30" xfId="6" applyNumberFormat="1" applyFont="1" applyFill="1" applyBorder="1" applyAlignment="1">
      <alignment horizontal="center"/>
    </xf>
    <xf numFmtId="49" fontId="10" fillId="0" borderId="17" xfId="6" applyNumberFormat="1" applyFont="1" applyFill="1" applyBorder="1" applyAlignment="1">
      <alignment horizontal="center"/>
    </xf>
    <xf numFmtId="49" fontId="10" fillId="0" borderId="52" xfId="6" applyNumberFormat="1" applyFont="1" applyFill="1" applyBorder="1" applyAlignment="1">
      <alignment horizontal="center"/>
    </xf>
    <xf numFmtId="0" fontId="7" fillId="0" borderId="0" xfId="6" applyFont="1"/>
    <xf numFmtId="0" fontId="8" fillId="0" borderId="39" xfId="6" applyFont="1" applyFill="1" applyBorder="1"/>
    <xf numFmtId="3" fontId="8" fillId="0" borderId="42" xfId="6" applyNumberFormat="1" applyFont="1" applyFill="1" applyBorder="1"/>
    <xf numFmtId="165" fontId="8" fillId="0" borderId="55" xfId="6" applyNumberFormat="1" applyFont="1" applyFill="1" applyBorder="1"/>
    <xf numFmtId="3" fontId="8" fillId="0" borderId="56" xfId="6" applyNumberFormat="1" applyFont="1" applyFill="1" applyBorder="1"/>
    <xf numFmtId="3" fontId="8" fillId="0" borderId="39" xfId="6" applyNumberFormat="1" applyFont="1" applyFill="1" applyBorder="1"/>
    <xf numFmtId="165" fontId="8" fillId="0" borderId="0" xfId="6" applyNumberFormat="1" applyFont="1" applyFill="1" applyBorder="1"/>
    <xf numFmtId="3" fontId="10" fillId="0" borderId="39" xfId="6" applyNumberFormat="1" applyFont="1" applyFill="1" applyBorder="1"/>
    <xf numFmtId="3" fontId="8" fillId="0" borderId="0" xfId="6" applyNumberFormat="1" applyFont="1" applyFill="1" applyBorder="1"/>
    <xf numFmtId="165" fontId="1" fillId="0" borderId="0" xfId="6" applyNumberFormat="1"/>
    <xf numFmtId="4" fontId="1" fillId="0" borderId="0" xfId="6" applyNumberFormat="1"/>
    <xf numFmtId="165" fontId="7" fillId="0" borderId="0" xfId="6" applyNumberFormat="1" applyFont="1"/>
    <xf numFmtId="3" fontId="10" fillId="0" borderId="0" xfId="6" applyNumberFormat="1" applyFont="1" applyFill="1" applyBorder="1"/>
    <xf numFmtId="4" fontId="1" fillId="0" borderId="0" xfId="6" applyNumberFormat="1" applyFill="1"/>
    <xf numFmtId="0" fontId="7" fillId="0" borderId="0" xfId="6" applyFont="1" applyFill="1"/>
    <xf numFmtId="165" fontId="7" fillId="0" borderId="0" xfId="6" applyNumberFormat="1" applyFont="1" applyFill="1"/>
    <xf numFmtId="0" fontId="8" fillId="0" borderId="43" xfId="6" applyFont="1" applyFill="1" applyBorder="1"/>
    <xf numFmtId="3" fontId="8" fillId="0" borderId="43" xfId="6" applyNumberFormat="1" applyFont="1" applyFill="1" applyBorder="1"/>
    <xf numFmtId="0" fontId="10" fillId="0" borderId="33" xfId="6" applyFont="1" applyFill="1" applyBorder="1"/>
    <xf numFmtId="3" fontId="10" fillId="0" borderId="44" xfId="6" applyNumberFormat="1" applyFont="1" applyFill="1" applyBorder="1"/>
    <xf numFmtId="165" fontId="10" fillId="0" borderId="4" xfId="6" applyNumberFormat="1" applyFont="1" applyFill="1" applyBorder="1"/>
    <xf numFmtId="3" fontId="10" fillId="0" borderId="4" xfId="6" applyNumberFormat="1" applyFont="1" applyFill="1" applyBorder="1"/>
    <xf numFmtId="3" fontId="10" fillId="0" borderId="15" xfId="6" applyNumberFormat="1" applyFont="1" applyFill="1" applyBorder="1"/>
    <xf numFmtId="165" fontId="10" fillId="0" borderId="20" xfId="6" applyNumberFormat="1" applyFont="1" applyFill="1" applyBorder="1"/>
    <xf numFmtId="3" fontId="10" fillId="0" borderId="19" xfId="6" applyNumberFormat="1" applyFont="1" applyFill="1" applyBorder="1"/>
    <xf numFmtId="3" fontId="10" fillId="0" borderId="20" xfId="6" applyNumberFormat="1" applyFont="1" applyFill="1" applyBorder="1"/>
    <xf numFmtId="4" fontId="8" fillId="0" borderId="0" xfId="6" applyNumberFormat="1" applyFont="1" applyFill="1"/>
    <xf numFmtId="4" fontId="8" fillId="0" borderId="0" xfId="6" applyNumberFormat="1" applyFont="1"/>
    <xf numFmtId="169" fontId="1" fillId="0" borderId="0" xfId="6" applyNumberFormat="1" applyFill="1"/>
    <xf numFmtId="0" fontId="10" fillId="0" borderId="1" xfId="6" applyFont="1" applyBorder="1" applyAlignment="1">
      <alignment horizontal="center"/>
    </xf>
    <xf numFmtId="0" fontId="10" fillId="0" borderId="1" xfId="6" applyFont="1" applyBorder="1" applyAlignment="1">
      <alignment horizontal="center" vertical="center"/>
    </xf>
    <xf numFmtId="0" fontId="10" fillId="0" borderId="57" xfId="6" applyFont="1" applyBorder="1" applyAlignment="1">
      <alignment horizontal="center"/>
    </xf>
    <xf numFmtId="0" fontId="10" fillId="0" borderId="57" xfId="6" applyFont="1" applyBorder="1" applyAlignment="1">
      <alignment horizontal="center" vertical="center"/>
    </xf>
    <xf numFmtId="49" fontId="10" fillId="0" borderId="57" xfId="6" applyNumberFormat="1" applyFont="1" applyBorder="1" applyAlignment="1">
      <alignment horizontal="center"/>
    </xf>
    <xf numFmtId="49" fontId="10" fillId="0" borderId="28" xfId="6" applyNumberFormat="1" applyFont="1" applyBorder="1" applyAlignment="1">
      <alignment horizontal="center"/>
    </xf>
    <xf numFmtId="0" fontId="8" fillId="0" borderId="58" xfId="6" applyFont="1" applyBorder="1"/>
    <xf numFmtId="4" fontId="24" fillId="0" borderId="0" xfId="6" applyNumberFormat="1" applyFont="1"/>
    <xf numFmtId="0" fontId="8" fillId="0" borderId="56" xfId="6" applyFont="1" applyBorder="1"/>
    <xf numFmtId="0" fontId="10" fillId="0" borderId="2" xfId="6" applyFont="1" applyBorder="1"/>
    <xf numFmtId="4" fontId="10" fillId="0" borderId="2" xfId="6" applyNumberFormat="1" applyFont="1" applyBorder="1"/>
    <xf numFmtId="2" fontId="10" fillId="0" borderId="2" xfId="6" applyNumberFormat="1" applyFont="1" applyBorder="1"/>
    <xf numFmtId="0" fontId="8" fillId="0" borderId="0" xfId="6" applyFont="1" applyAlignment="1">
      <alignment horizontal="center"/>
    </xf>
    <xf numFmtId="0" fontId="8" fillId="0" borderId="31" xfId="6" applyFont="1" applyBorder="1"/>
    <xf numFmtId="165" fontId="8" fillId="0" borderId="35" xfId="6" applyNumberFormat="1" applyFont="1" applyBorder="1"/>
    <xf numFmtId="3" fontId="8" fillId="0" borderId="35" xfId="6" applyNumberFormat="1" applyFont="1" applyFill="1" applyBorder="1" applyAlignment="1">
      <alignment horizontal="right"/>
    </xf>
    <xf numFmtId="2" fontId="1" fillId="0" borderId="0" xfId="6" applyNumberFormat="1"/>
    <xf numFmtId="0" fontId="8" fillId="0" borderId="37" xfId="6" applyFont="1" applyBorder="1"/>
    <xf numFmtId="165" fontId="8" fillId="0" borderId="39" xfId="6" applyNumberFormat="1" applyFont="1" applyBorder="1"/>
    <xf numFmtId="3" fontId="8" fillId="0" borderId="39" xfId="6" applyNumberFormat="1" applyFont="1" applyFill="1" applyBorder="1" applyAlignment="1">
      <alignment horizontal="right"/>
    </xf>
    <xf numFmtId="0" fontId="8" fillId="0" borderId="40" xfId="6" applyFont="1" applyBorder="1"/>
    <xf numFmtId="165" fontId="8" fillId="0" borderId="43" xfId="6" applyNumberFormat="1" applyFont="1" applyBorder="1"/>
    <xf numFmtId="3" fontId="8" fillId="0" borderId="43" xfId="6" applyNumberFormat="1" applyFont="1" applyFill="1" applyBorder="1" applyAlignment="1">
      <alignment horizontal="right"/>
    </xf>
    <xf numFmtId="0" fontId="10" fillId="0" borderId="32" xfId="6" applyFont="1" applyBorder="1"/>
    <xf numFmtId="3" fontId="10" fillId="0" borderId="5" xfId="6" applyNumberFormat="1" applyFont="1" applyFill="1" applyBorder="1" applyAlignment="1">
      <alignment horizontal="right"/>
    </xf>
    <xf numFmtId="0" fontId="8" fillId="0" borderId="0" xfId="6" applyFont="1" applyAlignment="1">
      <alignment vertical="top"/>
    </xf>
    <xf numFmtId="0" fontId="8" fillId="0" borderId="0" xfId="6" applyFont="1" applyFill="1" applyBorder="1"/>
    <xf numFmtId="0" fontId="8" fillId="0" borderId="0" xfId="6" applyFont="1" applyFill="1" applyBorder="1" applyAlignment="1">
      <alignment horizontal="center"/>
    </xf>
    <xf numFmtId="0" fontId="1" fillId="0" borderId="0" xfId="6" applyFill="1" applyBorder="1"/>
    <xf numFmtId="0" fontId="25" fillId="0" borderId="35" xfId="6" applyFont="1" applyFill="1" applyBorder="1" applyAlignment="1">
      <alignment horizontal="center"/>
    </xf>
    <xf numFmtId="0" fontId="25" fillId="0" borderId="59" xfId="6" applyFont="1" applyFill="1" applyBorder="1" applyAlignment="1">
      <alignment horizontal="center"/>
    </xf>
    <xf numFmtId="0" fontId="25" fillId="0" borderId="39" xfId="6" applyFont="1" applyFill="1" applyBorder="1" applyAlignment="1">
      <alignment horizontal="center"/>
    </xf>
    <xf numFmtId="0" fontId="25" fillId="0" borderId="0" xfId="6" applyFont="1" applyFill="1" applyBorder="1" applyAlignment="1">
      <alignment horizontal="center"/>
    </xf>
    <xf numFmtId="49" fontId="25" fillId="0" borderId="39" xfId="6" applyNumberFormat="1" applyFont="1" applyFill="1" applyBorder="1" applyAlignment="1">
      <alignment horizontal="center"/>
    </xf>
    <xf numFmtId="49" fontId="25" fillId="0" borderId="0" xfId="6" applyNumberFormat="1" applyFont="1" applyFill="1" applyBorder="1" applyAlignment="1">
      <alignment horizontal="center"/>
    </xf>
    <xf numFmtId="49" fontId="25" fillId="0" borderId="44" xfId="6" applyNumberFormat="1" applyFont="1" applyFill="1" applyBorder="1" applyAlignment="1">
      <alignment horizontal="center"/>
    </xf>
    <xf numFmtId="0" fontId="25" fillId="0" borderId="43" xfId="6" applyFont="1" applyFill="1" applyBorder="1" applyAlignment="1">
      <alignment horizontal="center"/>
    </xf>
    <xf numFmtId="49" fontId="25" fillId="0" borderId="43" xfId="6" applyNumberFormat="1" applyFont="1" applyFill="1" applyBorder="1" applyAlignment="1">
      <alignment horizontal="center"/>
    </xf>
    <xf numFmtId="49" fontId="25" fillId="2" borderId="42" xfId="6" applyNumberFormat="1" applyFont="1" applyFill="1" applyBorder="1" applyAlignment="1">
      <alignment horizontal="center"/>
    </xf>
    <xf numFmtId="49" fontId="25" fillId="2" borderId="39" xfId="6" applyNumberFormat="1" applyFont="1" applyFill="1" applyBorder="1" applyAlignment="1">
      <alignment horizontal="center"/>
    </xf>
    <xf numFmtId="0" fontId="1" fillId="2" borderId="0" xfId="6" applyFill="1"/>
    <xf numFmtId="0" fontId="8" fillId="0" borderId="35" xfId="6" applyFont="1" applyFill="1" applyBorder="1"/>
    <xf numFmtId="3" fontId="8" fillId="0" borderId="35" xfId="6" applyNumberFormat="1" applyFont="1" applyFill="1" applyBorder="1"/>
    <xf numFmtId="166" fontId="8" fillId="0" borderId="35" xfId="6" applyNumberFormat="1" applyFont="1" applyFill="1" applyBorder="1"/>
    <xf numFmtId="3" fontId="8" fillId="0" borderId="59" xfId="6" applyNumberFormat="1" applyFont="1" applyFill="1" applyBorder="1"/>
    <xf numFmtId="165" fontId="8" fillId="0" borderId="35" xfId="6" applyNumberFormat="1" applyFont="1" applyFill="1" applyBorder="1"/>
    <xf numFmtId="3" fontId="8" fillId="0" borderId="35" xfId="6" applyNumberFormat="1" applyFont="1" applyFill="1" applyBorder="1" applyAlignment="1"/>
    <xf numFmtId="165" fontId="1" fillId="2" borderId="0" xfId="6" applyNumberFormat="1" applyFill="1"/>
    <xf numFmtId="166" fontId="8" fillId="0" borderId="39" xfId="6" applyNumberFormat="1" applyFont="1" applyFill="1" applyBorder="1"/>
    <xf numFmtId="165" fontId="8" fillId="0" borderId="39" xfId="6" applyNumberFormat="1" applyFont="1" applyFill="1" applyBorder="1"/>
    <xf numFmtId="3" fontId="8" fillId="0" borderId="39" xfId="6" applyNumberFormat="1" applyFont="1" applyFill="1" applyBorder="1" applyAlignment="1"/>
    <xf numFmtId="166" fontId="8" fillId="0" borderId="43" xfId="6" applyNumberFormat="1" applyFont="1" applyFill="1" applyBorder="1"/>
    <xf numFmtId="0" fontId="8" fillId="0" borderId="19" xfId="6" applyFont="1" applyFill="1" applyBorder="1"/>
    <xf numFmtId="3" fontId="10" fillId="0" borderId="43" xfId="6" applyNumberFormat="1" applyFont="1" applyFill="1" applyBorder="1"/>
    <xf numFmtId="166" fontId="10" fillId="0" borderId="44" xfId="6" applyNumberFormat="1" applyFont="1" applyFill="1" applyBorder="1"/>
    <xf numFmtId="3" fontId="10" fillId="0" borderId="33" xfId="6" applyNumberFormat="1" applyFont="1" applyFill="1" applyBorder="1"/>
    <xf numFmtId="165" fontId="10" fillId="0" borderId="19" xfId="6" applyNumberFormat="1" applyFont="1" applyFill="1" applyBorder="1"/>
    <xf numFmtId="3" fontId="10" fillId="0" borderId="19" xfId="6" applyNumberFormat="1" applyFont="1" applyFill="1" applyBorder="1" applyAlignment="1"/>
    <xf numFmtId="3" fontId="10" fillId="0" borderId="34" xfId="6" applyNumberFormat="1" applyFont="1" applyFill="1" applyBorder="1" applyAlignment="1"/>
    <xf numFmtId="0" fontId="8" fillId="0" borderId="0" xfId="6" applyFont="1" applyAlignment="1">
      <alignment horizontal="center" vertical="center"/>
    </xf>
    <xf numFmtId="166" fontId="10" fillId="0" borderId="26" xfId="6" applyNumberFormat="1" applyFont="1" applyBorder="1" applyAlignment="1">
      <alignment horizontal="center"/>
    </xf>
    <xf numFmtId="166" fontId="10" fillId="0" borderId="52" xfId="6" applyNumberFormat="1" applyFont="1" applyBorder="1" applyAlignment="1">
      <alignment horizontal="center"/>
    </xf>
    <xf numFmtId="0" fontId="10" fillId="0" borderId="52" xfId="6" applyFont="1" applyBorder="1" applyAlignment="1">
      <alignment horizontal="center"/>
    </xf>
    <xf numFmtId="0" fontId="8" fillId="0" borderId="35" xfId="6" applyFont="1" applyBorder="1" applyAlignment="1">
      <alignment horizontal="center" vertical="center"/>
    </xf>
    <xf numFmtId="44" fontId="8" fillId="0" borderId="59" xfId="7" applyFont="1" applyBorder="1"/>
    <xf numFmtId="166" fontId="8" fillId="0" borderId="59" xfId="6" applyNumberFormat="1" applyFont="1" applyBorder="1"/>
    <xf numFmtId="3" fontId="26" fillId="0" borderId="59" xfId="6" applyNumberFormat="1" applyFont="1" applyBorder="1" applyAlignment="1">
      <alignment horizontal="right" vertical="center" wrapText="1"/>
    </xf>
    <xf numFmtId="0" fontId="1" fillId="0" borderId="38" xfId="6" applyBorder="1"/>
    <xf numFmtId="166" fontId="8" fillId="0" borderId="31" xfId="6" applyNumberFormat="1" applyFont="1" applyBorder="1" applyAlignment="1">
      <alignment horizontal="center"/>
    </xf>
    <xf numFmtId="166" fontId="8" fillId="0" borderId="59" xfId="6" applyNumberFormat="1" applyFont="1" applyBorder="1" applyAlignment="1">
      <alignment horizontal="center"/>
    </xf>
    <xf numFmtId="0" fontId="1" fillId="0" borderId="59" xfId="6" applyBorder="1"/>
    <xf numFmtId="4" fontId="8" fillId="3" borderId="0" xfId="6" applyNumberFormat="1" applyFont="1" applyFill="1" applyBorder="1" applyAlignment="1">
      <alignment horizontal="right"/>
    </xf>
    <xf numFmtId="4" fontId="8" fillId="0" borderId="0" xfId="6" applyNumberFormat="1" applyFont="1" applyFill="1" applyBorder="1" applyAlignment="1">
      <alignment horizontal="right"/>
    </xf>
    <xf numFmtId="10" fontId="1" fillId="4" borderId="0" xfId="6" applyNumberFormat="1" applyFill="1"/>
    <xf numFmtId="10" fontId="1" fillId="0" borderId="0" xfId="6" applyNumberFormat="1" applyFill="1"/>
    <xf numFmtId="0" fontId="8" fillId="0" borderId="39" xfId="6" applyFont="1" applyBorder="1" applyAlignment="1">
      <alignment horizontal="center" vertical="center"/>
    </xf>
    <xf numFmtId="166" fontId="8" fillId="0" borderId="37" xfId="6" applyNumberFormat="1" applyFont="1" applyFill="1" applyBorder="1" applyAlignment="1">
      <alignment horizontal="center"/>
    </xf>
    <xf numFmtId="166" fontId="8" fillId="0" borderId="0" xfId="6" applyNumberFormat="1" applyFont="1" applyFill="1" applyBorder="1" applyAlignment="1">
      <alignment horizontal="center"/>
    </xf>
    <xf numFmtId="4" fontId="1" fillId="4" borderId="0" xfId="6" applyNumberFormat="1" applyFill="1"/>
    <xf numFmtId="0" fontId="8" fillId="0" borderId="0" xfId="6" applyFont="1" applyFill="1" applyBorder="1" applyAlignment="1">
      <alignment horizontal="left"/>
    </xf>
    <xf numFmtId="4" fontId="1" fillId="0" borderId="0" xfId="6" applyNumberFormat="1" applyFill="1" applyAlignment="1">
      <alignment horizontal="right"/>
    </xf>
    <xf numFmtId="0" fontId="8" fillId="0" borderId="37" xfId="6" applyFont="1" applyFill="1" applyBorder="1" applyAlignment="1">
      <alignment horizontal="left"/>
    </xf>
    <xf numFmtId="0" fontId="8" fillId="0" borderId="42" xfId="6" applyFont="1" applyFill="1" applyBorder="1" applyAlignment="1">
      <alignment horizontal="left"/>
    </xf>
    <xf numFmtId="0" fontId="8" fillId="0" borderId="37" xfId="6" applyFont="1" applyFill="1" applyBorder="1" applyAlignment="1">
      <alignment horizontal="right"/>
    </xf>
    <xf numFmtId="0" fontId="8" fillId="0" borderId="0" xfId="6" applyFont="1" applyFill="1" applyBorder="1" applyAlignment="1">
      <alignment horizontal="right"/>
    </xf>
    <xf numFmtId="0" fontId="1" fillId="0" borderId="0" xfId="6" applyFill="1" applyAlignment="1">
      <alignment horizontal="right"/>
    </xf>
    <xf numFmtId="0" fontId="8" fillId="0" borderId="37" xfId="6" applyFont="1" applyBorder="1" applyAlignment="1">
      <alignment horizontal="center" vertical="center"/>
    </xf>
    <xf numFmtId="4" fontId="8" fillId="0" borderId="2" xfId="6" applyNumberFormat="1" applyFont="1" applyFill="1" applyBorder="1" applyAlignment="1">
      <alignment horizontal="right"/>
    </xf>
    <xf numFmtId="4" fontId="8" fillId="0" borderId="13" xfId="6" applyNumberFormat="1" applyFont="1" applyFill="1" applyBorder="1" applyAlignment="1">
      <alignment horizontal="right"/>
    </xf>
    <xf numFmtId="0" fontId="8" fillId="0" borderId="40" xfId="6" applyFont="1" applyBorder="1" applyAlignment="1">
      <alignment horizontal="center" vertical="center"/>
    </xf>
    <xf numFmtId="0" fontId="8" fillId="0" borderId="57" xfId="6" applyFont="1" applyBorder="1" applyAlignment="1">
      <alignment horizontal="center" vertical="center"/>
    </xf>
    <xf numFmtId="0" fontId="8" fillId="0" borderId="24" xfId="6" applyFont="1" applyBorder="1" applyAlignment="1">
      <alignment horizontal="center" vertical="center"/>
    </xf>
    <xf numFmtId="0" fontId="8" fillId="0" borderId="56" xfId="6" applyFont="1" applyFill="1" applyBorder="1" applyAlignment="1">
      <alignment horizontal="right"/>
    </xf>
    <xf numFmtId="0" fontId="8" fillId="0" borderId="2" xfId="6" applyFont="1" applyFill="1" applyBorder="1" applyAlignment="1">
      <alignment horizontal="right"/>
    </xf>
    <xf numFmtId="0" fontId="8" fillId="0" borderId="10" xfId="6" applyFont="1" applyFill="1" applyBorder="1" applyAlignment="1">
      <alignment horizontal="right"/>
    </xf>
    <xf numFmtId="4" fontId="10" fillId="0" borderId="10" xfId="6" applyNumberFormat="1" applyFont="1" applyFill="1" applyBorder="1" applyAlignment="1">
      <alignment horizontal="right"/>
    </xf>
    <xf numFmtId="0" fontId="10" fillId="0" borderId="56" xfId="6" applyFont="1" applyFill="1" applyBorder="1" applyAlignment="1">
      <alignment horizontal="center"/>
    </xf>
    <xf numFmtId="0" fontId="10" fillId="0" borderId="55" xfId="6" applyFont="1" applyFill="1" applyBorder="1" applyAlignment="1">
      <alignment horizontal="center"/>
    </xf>
    <xf numFmtId="4" fontId="8" fillId="0" borderId="56" xfId="6" applyNumberFormat="1" applyFont="1" applyFill="1" applyBorder="1" applyAlignment="1">
      <alignment horizontal="right"/>
    </xf>
    <xf numFmtId="4" fontId="10" fillId="0" borderId="0" xfId="6" applyNumberFormat="1" applyFont="1" applyFill="1" applyBorder="1" applyAlignment="1">
      <alignment horizontal="right"/>
    </xf>
    <xf numFmtId="166" fontId="1" fillId="0" borderId="0" xfId="6" applyNumberFormat="1" applyFill="1"/>
    <xf numFmtId="0" fontId="8" fillId="5" borderId="57" xfId="6" applyFont="1" applyFill="1" applyBorder="1" applyAlignment="1">
      <alignment horizontal="center" vertical="center"/>
    </xf>
    <xf numFmtId="0" fontId="8" fillId="0" borderId="57" xfId="6" applyFont="1" applyFill="1" applyBorder="1" applyAlignment="1">
      <alignment horizontal="center" vertical="center"/>
    </xf>
    <xf numFmtId="0" fontId="8" fillId="0" borderId="56" xfId="6" applyFont="1" applyFill="1" applyBorder="1" applyAlignment="1">
      <alignment horizontal="left"/>
    </xf>
    <xf numFmtId="0" fontId="8" fillId="0" borderId="55" xfId="6" applyFont="1" applyFill="1" applyBorder="1" applyAlignment="1">
      <alignment horizontal="left"/>
    </xf>
    <xf numFmtId="3" fontId="8" fillId="0" borderId="56" xfId="6" applyNumberFormat="1" applyFont="1" applyFill="1" applyBorder="1" applyAlignment="1">
      <alignment horizontal="right"/>
    </xf>
    <xf numFmtId="3" fontId="8" fillId="0" borderId="0" xfId="6" applyNumberFormat="1" applyFont="1" applyFill="1" applyBorder="1" applyAlignment="1">
      <alignment horizontal="right"/>
    </xf>
    <xf numFmtId="0" fontId="8" fillId="0" borderId="2" xfId="6" applyFont="1" applyBorder="1" applyAlignment="1">
      <alignment horizontal="center" vertical="center"/>
    </xf>
    <xf numFmtId="0" fontId="8" fillId="0" borderId="0" xfId="6" applyFont="1" applyFill="1"/>
    <xf numFmtId="0" fontId="8" fillId="0" borderId="0" xfId="6" applyFont="1" applyFill="1" applyAlignment="1">
      <alignment horizontal="center"/>
    </xf>
    <xf numFmtId="0" fontId="8" fillId="0" borderId="0" xfId="6" applyFont="1" applyFill="1" applyAlignment="1">
      <alignment horizontal="center" vertical="center"/>
    </xf>
    <xf numFmtId="0" fontId="10" fillId="0" borderId="61" xfId="6" applyFont="1" applyFill="1" applyBorder="1" applyAlignment="1">
      <alignment horizontal="center"/>
    </xf>
    <xf numFmtId="0" fontId="10" fillId="0" borderId="2" xfId="6" applyFont="1" applyFill="1" applyBorder="1" applyAlignment="1">
      <alignment horizontal="center"/>
    </xf>
    <xf numFmtId="3" fontId="8" fillId="0" borderId="2" xfId="6" applyNumberFormat="1" applyFont="1" applyFill="1" applyBorder="1"/>
    <xf numFmtId="3" fontId="27" fillId="0" borderId="2" xfId="6" applyNumberFormat="1" applyFont="1" applyFill="1" applyBorder="1"/>
    <xf numFmtId="3" fontId="28" fillId="0" borderId="2" xfId="6" applyNumberFormat="1" applyFont="1" applyFill="1" applyBorder="1"/>
    <xf numFmtId="3" fontId="29" fillId="0" borderId="2" xfId="6" applyNumberFormat="1" applyFont="1" applyFill="1" applyBorder="1"/>
    <xf numFmtId="168" fontId="29" fillId="0" borderId="2" xfId="6" applyNumberFormat="1" applyFont="1" applyFill="1" applyBorder="1"/>
    <xf numFmtId="165" fontId="29" fillId="0" borderId="0" xfId="6" applyNumberFormat="1" applyFont="1" applyFill="1" applyBorder="1"/>
    <xf numFmtId="166" fontId="7" fillId="0" borderId="0" xfId="6" applyNumberFormat="1" applyFont="1" applyFill="1"/>
    <xf numFmtId="3" fontId="27" fillId="0" borderId="57" xfId="6" applyNumberFormat="1" applyFont="1" applyFill="1" applyBorder="1"/>
    <xf numFmtId="0" fontId="10" fillId="0" borderId="2" xfId="6" applyFont="1" applyFill="1" applyBorder="1"/>
    <xf numFmtId="3" fontId="30" fillId="0" borderId="2" xfId="6" applyNumberFormat="1" applyFont="1" applyFill="1" applyBorder="1"/>
    <xf numFmtId="3" fontId="29" fillId="0" borderId="0" xfId="6" applyNumberFormat="1" applyFont="1" applyFill="1" applyBorder="1"/>
    <xf numFmtId="0" fontId="1" fillId="0" borderId="0" xfId="6" applyFill="1" applyAlignment="1">
      <alignment horizontal="center"/>
    </xf>
    <xf numFmtId="3" fontId="27" fillId="0" borderId="56" xfId="6" applyNumberFormat="1" applyFont="1" applyFill="1" applyBorder="1"/>
    <xf numFmtId="0" fontId="8" fillId="0" borderId="39" xfId="6" applyFont="1" applyBorder="1"/>
    <xf numFmtId="3" fontId="8" fillId="0" borderId="35" xfId="6" applyNumberFormat="1" applyFont="1" applyBorder="1"/>
    <xf numFmtId="166" fontId="1" fillId="0" borderId="0" xfId="6" applyNumberFormat="1"/>
    <xf numFmtId="3" fontId="31" fillId="0" borderId="39" xfId="6" applyNumberFormat="1" applyFont="1" applyBorder="1" applyAlignment="1">
      <alignment horizontal="right" vertical="center" wrapText="1"/>
    </xf>
    <xf numFmtId="3" fontId="8" fillId="0" borderId="39" xfId="6" applyNumberFormat="1" applyFont="1" applyBorder="1"/>
    <xf numFmtId="0" fontId="10" fillId="0" borderId="19" xfId="6" applyFont="1" applyBorder="1"/>
    <xf numFmtId="3" fontId="10" fillId="0" borderId="19" xfId="6" applyNumberFormat="1" applyFont="1" applyBorder="1"/>
    <xf numFmtId="165" fontId="10" fillId="0" borderId="4" xfId="6" applyNumberFormat="1" applyFont="1" applyBorder="1"/>
    <xf numFmtId="0" fontId="2" fillId="0" borderId="0" xfId="3" applyFont="1" applyBorder="1" applyAlignment="1">
      <alignment horizontal="left" vertical="justify"/>
    </xf>
    <xf numFmtId="0" fontId="13" fillId="0" borderId="0" xfId="0" applyFont="1" applyAlignment="1">
      <alignment horizontal="center"/>
    </xf>
    <xf numFmtId="0" fontId="14" fillId="0" borderId="0" xfId="0" applyFont="1" applyAlignment="1">
      <alignment horizontal="center"/>
    </xf>
    <xf numFmtId="0" fontId="11" fillId="0" borderId="6"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2" xfId="0" applyFont="1" applyFill="1" applyBorder="1" applyAlignment="1">
      <alignment horizontal="center" vertical="justify"/>
    </xf>
    <xf numFmtId="0" fontId="11" fillId="0" borderId="23" xfId="0" applyFont="1" applyFill="1" applyBorder="1" applyAlignment="1">
      <alignment horizontal="center" vertical="justify"/>
    </xf>
    <xf numFmtId="0" fontId="11" fillId="0" borderId="7" xfId="0" applyFont="1" applyFill="1" applyBorder="1" applyAlignment="1">
      <alignment horizontal="center" vertical="justify"/>
    </xf>
    <xf numFmtId="0" fontId="15" fillId="0" borderId="0" xfId="0" applyFont="1" applyAlignment="1">
      <alignment horizont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left" vertical="justify"/>
    </xf>
    <xf numFmtId="0" fontId="16" fillId="0" borderId="0" xfId="0" applyFont="1" applyAlignment="1">
      <alignment horizontal="center"/>
    </xf>
    <xf numFmtId="0" fontId="11" fillId="0" borderId="30" xfId="0" applyFont="1" applyFill="1" applyBorder="1" applyAlignment="1">
      <alignment horizontal="center" vertical="center"/>
    </xf>
    <xf numFmtId="0" fontId="11" fillId="0" borderId="0" xfId="0" applyFont="1" applyAlignment="1">
      <alignment horizontal="center" vertical="center"/>
    </xf>
    <xf numFmtId="0" fontId="9" fillId="0" borderId="0" xfId="3" applyFont="1" applyBorder="1" applyAlignment="1">
      <alignment horizontal="justify" vertic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11" fillId="0" borderId="14" xfId="0" applyFont="1" applyFill="1" applyBorder="1" applyAlignment="1">
      <alignment horizontal="center" vertical="justify"/>
    </xf>
    <xf numFmtId="0" fontId="11" fillId="0" borderId="15" xfId="0" applyFont="1" applyFill="1" applyBorder="1" applyAlignment="1">
      <alignment horizontal="center" vertical="justify"/>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1" fillId="0" borderId="36" xfId="6" applyBorder="1" applyAlignment="1">
      <alignment horizontal="center" vertical="center" wrapText="1"/>
    </xf>
    <xf numFmtId="0" fontId="19" fillId="0" borderId="35" xfId="6" applyFont="1" applyFill="1" applyBorder="1" applyAlignment="1">
      <alignment horizontal="center" vertical="center" wrapText="1"/>
    </xf>
    <xf numFmtId="0" fontId="20" fillId="0" borderId="39" xfId="6" applyFont="1" applyBorder="1" applyAlignment="1">
      <alignment horizontal="center" vertical="center" wrapText="1"/>
    </xf>
    <xf numFmtId="0" fontId="19" fillId="0" borderId="39" xfId="6" applyFont="1" applyFill="1" applyBorder="1" applyAlignment="1">
      <alignment horizontal="center" vertical="center" wrapText="1"/>
    </xf>
    <xf numFmtId="2" fontId="19" fillId="0" borderId="31" xfId="6" applyNumberFormat="1" applyFont="1" applyFill="1" applyBorder="1" applyAlignment="1">
      <alignment horizontal="center" vertical="center" wrapText="1"/>
    </xf>
    <xf numFmtId="0" fontId="20" fillId="0" borderId="38" xfId="6" applyFont="1" applyBorder="1" applyAlignment="1">
      <alignment horizontal="center" vertical="center" wrapText="1"/>
    </xf>
    <xf numFmtId="0" fontId="20" fillId="0" borderId="40" xfId="6" applyFont="1" applyBorder="1" applyAlignment="1">
      <alignment horizontal="center" vertical="center" wrapText="1"/>
    </xf>
    <xf numFmtId="0" fontId="20" fillId="0" borderId="41" xfId="6" applyFont="1" applyBorder="1" applyAlignment="1">
      <alignment horizontal="center" vertical="center" wrapText="1"/>
    </xf>
    <xf numFmtId="4" fontId="19" fillId="0" borderId="35" xfId="6" applyNumberFormat="1" applyFont="1" applyFill="1" applyBorder="1" applyAlignment="1">
      <alignment horizontal="center" vertical="center" wrapText="1"/>
    </xf>
    <xf numFmtId="4" fontId="19" fillId="0" borderId="39" xfId="6" applyNumberFormat="1" applyFont="1" applyFill="1" applyBorder="1" applyAlignment="1">
      <alignment horizontal="center" vertical="center" wrapText="1"/>
    </xf>
    <xf numFmtId="0" fontId="18" fillId="0" borderId="0" xfId="6" applyFont="1" applyAlignment="1">
      <alignment horizontal="center"/>
    </xf>
    <xf numFmtId="0" fontId="10" fillId="0" borderId="31" xfId="6" applyFont="1" applyBorder="1" applyAlignment="1">
      <alignment horizontal="center" vertical="center" wrapText="1"/>
    </xf>
    <xf numFmtId="0" fontId="10" fillId="0" borderId="37" xfId="6" applyFont="1" applyBorder="1" applyAlignment="1">
      <alignment horizontal="center" vertical="center" wrapText="1"/>
    </xf>
    <xf numFmtId="0" fontId="10" fillId="0" borderId="32" xfId="6" applyFont="1" applyFill="1" applyBorder="1" applyAlignment="1">
      <alignment horizontal="center" vertical="center" wrapText="1"/>
    </xf>
    <xf numFmtId="0" fontId="10" fillId="0" borderId="33" xfId="6" applyFont="1" applyFill="1" applyBorder="1" applyAlignment="1">
      <alignment horizontal="center" vertical="center" wrapText="1"/>
    </xf>
    <xf numFmtId="0" fontId="10" fillId="0" borderId="34" xfId="6" applyFont="1" applyFill="1" applyBorder="1" applyAlignment="1">
      <alignment horizontal="center" vertical="center" wrapText="1"/>
    </xf>
    <xf numFmtId="0" fontId="10" fillId="0" borderId="32" xfId="6" applyFont="1" applyFill="1" applyBorder="1" applyAlignment="1">
      <alignment horizontal="center" vertical="center"/>
    </xf>
    <xf numFmtId="0" fontId="10" fillId="0" borderId="33" xfId="6" applyFont="1" applyFill="1" applyBorder="1" applyAlignment="1">
      <alignment horizontal="center" vertical="center"/>
    </xf>
    <xf numFmtId="0" fontId="10" fillId="0" borderId="34" xfId="6" applyFont="1" applyFill="1" applyBorder="1" applyAlignment="1">
      <alignment horizontal="center" vertical="center"/>
    </xf>
    <xf numFmtId="0" fontId="23" fillId="0" borderId="0" xfId="6" applyFont="1" applyFill="1" applyAlignment="1">
      <alignment horizontal="left" vertical="center" wrapText="1"/>
    </xf>
    <xf numFmtId="0" fontId="19" fillId="0" borderId="35" xfId="6" applyFont="1" applyFill="1" applyBorder="1" applyAlignment="1">
      <alignment horizontal="center" vertical="center"/>
    </xf>
    <xf numFmtId="0" fontId="19" fillId="0" borderId="39" xfId="6" applyFont="1" applyFill="1" applyBorder="1" applyAlignment="1">
      <alignment horizontal="center" vertical="center"/>
    </xf>
    <xf numFmtId="0" fontId="20" fillId="0" borderId="43" xfId="6" applyFont="1" applyBorder="1" applyAlignment="1">
      <alignment horizontal="center" vertical="center" wrapText="1"/>
    </xf>
    <xf numFmtId="4" fontId="19" fillId="0" borderId="38" xfId="6" applyNumberFormat="1" applyFont="1" applyFill="1" applyBorder="1" applyAlignment="1">
      <alignment horizontal="center" vertical="center" wrapText="1"/>
    </xf>
    <xf numFmtId="0" fontId="20" fillId="0" borderId="42" xfId="6" applyFont="1" applyBorder="1" applyAlignment="1">
      <alignment horizontal="center" vertical="center" wrapText="1"/>
    </xf>
    <xf numFmtId="0" fontId="19" fillId="0" borderId="39" xfId="6" applyFont="1" applyBorder="1" applyAlignment="1">
      <alignment horizontal="center" vertical="center" wrapText="1"/>
    </xf>
    <xf numFmtId="0" fontId="22" fillId="0" borderId="0" xfId="6" applyFont="1" applyFill="1" applyAlignment="1">
      <alignment horizontal="left" vertical="center" wrapText="1"/>
    </xf>
    <xf numFmtId="0" fontId="10" fillId="0" borderId="1" xfId="6" applyFont="1" applyBorder="1" applyAlignment="1">
      <alignment horizontal="center" vertical="center" wrapText="1"/>
    </xf>
    <xf numFmtId="0" fontId="10" fillId="0" borderId="57" xfId="6" applyFont="1" applyBorder="1" applyAlignment="1">
      <alignment horizontal="center" vertical="center" wrapText="1"/>
    </xf>
    <xf numFmtId="0" fontId="10" fillId="0" borderId="28" xfId="6" applyFont="1" applyBorder="1" applyAlignment="1">
      <alignment horizontal="center" vertical="center" wrapText="1"/>
    </xf>
    <xf numFmtId="0" fontId="10" fillId="0" borderId="51" xfId="6" applyFont="1" applyFill="1" applyBorder="1" applyAlignment="1">
      <alignment horizontal="center"/>
    </xf>
    <xf numFmtId="0" fontId="18" fillId="0" borderId="26" xfId="6" applyFont="1" applyFill="1" applyBorder="1" applyAlignment="1">
      <alignment horizontal="center" vertical="center" wrapText="1"/>
    </xf>
    <xf numFmtId="0" fontId="18" fillId="0" borderId="52" xfId="6" applyFont="1" applyFill="1" applyBorder="1" applyAlignment="1">
      <alignment horizontal="center" vertical="center" wrapText="1"/>
    </xf>
    <xf numFmtId="0" fontId="18" fillId="0" borderId="49" xfId="6" applyFont="1" applyFill="1" applyBorder="1" applyAlignment="1">
      <alignment horizontal="center" vertical="center" wrapText="1"/>
    </xf>
    <xf numFmtId="0" fontId="10" fillId="0" borderId="35" xfId="6" applyFont="1" applyFill="1" applyBorder="1" applyAlignment="1">
      <alignment horizontal="center" vertical="center" wrapText="1"/>
    </xf>
    <xf numFmtId="0" fontId="10" fillId="0" borderId="39" xfId="6" applyFont="1" applyFill="1" applyBorder="1" applyAlignment="1">
      <alignment horizontal="center" vertical="center" wrapText="1"/>
    </xf>
    <xf numFmtId="0" fontId="10" fillId="0" borderId="43" xfId="6" applyFont="1" applyFill="1" applyBorder="1" applyAlignment="1">
      <alignment horizontal="center" vertical="center" wrapText="1"/>
    </xf>
    <xf numFmtId="0" fontId="10" fillId="0" borderId="31" xfId="6" applyFont="1" applyFill="1" applyBorder="1" applyAlignment="1">
      <alignment horizontal="center"/>
    </xf>
    <xf numFmtId="0" fontId="10" fillId="0" borderId="38" xfId="6" applyFont="1" applyFill="1" applyBorder="1" applyAlignment="1">
      <alignment horizontal="center"/>
    </xf>
    <xf numFmtId="0" fontId="10" fillId="0" borderId="35" xfId="6" applyFont="1" applyFill="1" applyBorder="1" applyAlignment="1">
      <alignment horizontal="center" wrapText="1"/>
    </xf>
    <xf numFmtId="0" fontId="10" fillId="0" borderId="39" xfId="6" applyFont="1" applyFill="1" applyBorder="1" applyAlignment="1">
      <alignment horizontal="center" wrapText="1"/>
    </xf>
    <xf numFmtId="0" fontId="10" fillId="0" borderId="47" xfId="6" applyFont="1" applyFill="1" applyBorder="1" applyAlignment="1">
      <alignment horizontal="center" wrapText="1"/>
    </xf>
    <xf numFmtId="1" fontId="10" fillId="0" borderId="37" xfId="6" applyNumberFormat="1" applyFont="1" applyFill="1" applyBorder="1" applyAlignment="1">
      <alignment horizontal="center"/>
    </xf>
    <xf numFmtId="1" fontId="10" fillId="0" borderId="42" xfId="6" applyNumberFormat="1" applyFont="1" applyFill="1" applyBorder="1" applyAlignment="1">
      <alignment horizontal="center"/>
    </xf>
    <xf numFmtId="0" fontId="10" fillId="0" borderId="0" xfId="6" applyFont="1" applyBorder="1" applyAlignment="1">
      <alignment horizontal="center" vertical="justify"/>
    </xf>
    <xf numFmtId="0" fontId="10" fillId="0" borderId="35" xfId="6" applyFont="1" applyBorder="1" applyAlignment="1">
      <alignment horizontal="center" vertical="center" wrapText="1"/>
    </xf>
    <xf numFmtId="0" fontId="10" fillId="0" borderId="39" xfId="6" applyFont="1" applyBorder="1" applyAlignment="1">
      <alignment horizontal="center" vertical="center" wrapText="1"/>
    </xf>
    <xf numFmtId="0" fontId="10" fillId="0" borderId="43" xfId="6" applyFont="1" applyBorder="1" applyAlignment="1">
      <alignment horizontal="center" vertical="center" wrapText="1"/>
    </xf>
    <xf numFmtId="0" fontId="1" fillId="0" borderId="39" xfId="6" applyBorder="1" applyAlignment="1">
      <alignment horizontal="center" vertical="center" wrapText="1"/>
    </xf>
    <xf numFmtId="0" fontId="1" fillId="0" borderId="43" xfId="6" applyBorder="1" applyAlignment="1">
      <alignment horizontal="center" vertical="center" wrapText="1"/>
    </xf>
    <xf numFmtId="0" fontId="10" fillId="0" borderId="35" xfId="6" applyFont="1" applyFill="1" applyBorder="1" applyAlignment="1">
      <alignment horizontal="center" vertical="justify"/>
    </xf>
    <xf numFmtId="0" fontId="10" fillId="0" borderId="39" xfId="6" applyFont="1" applyFill="1" applyBorder="1" applyAlignment="1">
      <alignment horizontal="center" vertical="justify"/>
    </xf>
    <xf numFmtId="0" fontId="10" fillId="0" borderId="43" xfId="6" applyFont="1" applyFill="1" applyBorder="1" applyAlignment="1">
      <alignment horizontal="center" vertical="justify"/>
    </xf>
    <xf numFmtId="0" fontId="1" fillId="0" borderId="0" xfId="6" applyAlignment="1">
      <alignment horizontal="right"/>
    </xf>
    <xf numFmtId="0" fontId="10" fillId="0" borderId="0" xfId="6" applyFont="1" applyBorder="1" applyAlignment="1">
      <alignment horizontal="center"/>
    </xf>
    <xf numFmtId="0" fontId="25" fillId="0" borderId="35" xfId="6" applyFont="1" applyFill="1" applyBorder="1" applyAlignment="1">
      <alignment horizontal="center" vertical="center" wrapText="1"/>
    </xf>
    <xf numFmtId="0" fontId="25" fillId="0" borderId="39" xfId="6" applyFont="1" applyFill="1" applyBorder="1" applyAlignment="1">
      <alignment horizontal="center" vertical="center" wrapText="1"/>
    </xf>
    <xf numFmtId="0" fontId="25" fillId="0" borderId="35" xfId="6" applyFont="1" applyFill="1" applyBorder="1" applyAlignment="1">
      <alignment horizontal="center" vertical="justify"/>
    </xf>
    <xf numFmtId="0" fontId="25" fillId="0" borderId="39" xfId="6" applyFont="1" applyFill="1" applyBorder="1" applyAlignment="1">
      <alignment horizontal="center" vertical="justify"/>
    </xf>
    <xf numFmtId="0" fontId="8" fillId="0" borderId="37" xfId="6" applyFont="1" applyFill="1" applyBorder="1" applyAlignment="1">
      <alignment horizontal="left"/>
    </xf>
    <xf numFmtId="0" fontId="8" fillId="0" borderId="0" xfId="6" applyFont="1" applyFill="1" applyBorder="1" applyAlignment="1">
      <alignment horizontal="left"/>
    </xf>
    <xf numFmtId="0" fontId="8" fillId="0" borderId="42" xfId="6" applyFont="1" applyFill="1" applyBorder="1" applyAlignment="1">
      <alignment horizontal="left"/>
    </xf>
    <xf numFmtId="4" fontId="8" fillId="3" borderId="37" xfId="6" applyNumberFormat="1" applyFont="1" applyFill="1" applyBorder="1" applyAlignment="1">
      <alignment horizontal="right"/>
    </xf>
    <xf numFmtId="4" fontId="8" fillId="3" borderId="0" xfId="6" applyNumberFormat="1" applyFont="1" applyFill="1" applyBorder="1" applyAlignment="1">
      <alignment horizontal="right"/>
    </xf>
    <xf numFmtId="0" fontId="10" fillId="0" borderId="60" xfId="6" applyFont="1" applyBorder="1" applyAlignment="1">
      <alignment horizontal="center" vertical="center"/>
    </xf>
    <xf numFmtId="0" fontId="10" fillId="0" borderId="53" xfId="6" applyFont="1" applyBorder="1" applyAlignment="1">
      <alignment horizontal="center" vertical="center"/>
    </xf>
    <xf numFmtId="0" fontId="10" fillId="0" borderId="48" xfId="6" applyFont="1" applyBorder="1" applyAlignment="1">
      <alignment horizontal="center"/>
    </xf>
    <xf numFmtId="0" fontId="10" fillId="0" borderId="52" xfId="6" applyFont="1" applyBorder="1" applyAlignment="1">
      <alignment horizontal="center"/>
    </xf>
    <xf numFmtId="0" fontId="10" fillId="0" borderId="49" xfId="6" applyFont="1" applyBorder="1" applyAlignment="1">
      <alignment horizontal="center"/>
    </xf>
    <xf numFmtId="0" fontId="10" fillId="3" borderId="32" xfId="6" applyFont="1" applyFill="1" applyBorder="1" applyAlignment="1">
      <alignment horizontal="center"/>
    </xf>
    <xf numFmtId="0" fontId="10" fillId="3" borderId="33" xfId="6" applyFont="1" applyFill="1" applyBorder="1" applyAlignment="1">
      <alignment horizontal="center"/>
    </xf>
    <xf numFmtId="4" fontId="8" fillId="0" borderId="37" xfId="6" applyNumberFormat="1" applyFont="1" applyFill="1" applyBorder="1" applyAlignment="1">
      <alignment horizontal="right"/>
    </xf>
    <xf numFmtId="4" fontId="8" fillId="0" borderId="0" xfId="6" applyNumberFormat="1" applyFont="1" applyFill="1" applyBorder="1" applyAlignment="1">
      <alignment horizontal="right"/>
    </xf>
    <xf numFmtId="0" fontId="8" fillId="0" borderId="37" xfId="6" applyFont="1" applyFill="1" applyBorder="1" applyAlignment="1">
      <alignment horizontal="right"/>
    </xf>
    <xf numFmtId="0" fontId="8" fillId="0" borderId="0" xfId="6" applyFont="1" applyFill="1" applyBorder="1" applyAlignment="1">
      <alignment horizontal="right"/>
    </xf>
    <xf numFmtId="0" fontId="8" fillId="0" borderId="6" xfId="6" applyFont="1" applyFill="1" applyBorder="1" applyAlignment="1">
      <alignment horizontal="left"/>
    </xf>
    <xf numFmtId="0" fontId="8" fillId="0" borderId="7" xfId="6" applyFont="1" applyFill="1" applyBorder="1" applyAlignment="1">
      <alignment horizontal="left"/>
    </xf>
    <xf numFmtId="4" fontId="8" fillId="0" borderId="7" xfId="6" applyNumberFormat="1" applyFont="1" applyFill="1" applyBorder="1" applyAlignment="1">
      <alignment horizontal="right"/>
    </xf>
    <xf numFmtId="4" fontId="8" fillId="0" borderId="8" xfId="6" applyNumberFormat="1" applyFont="1" applyFill="1" applyBorder="1" applyAlignment="1">
      <alignment horizontal="right"/>
    </xf>
    <xf numFmtId="0" fontId="8" fillId="0" borderId="12" xfId="6" applyFont="1" applyFill="1" applyBorder="1" applyAlignment="1">
      <alignment horizontal="left"/>
    </xf>
    <xf numFmtId="0" fontId="8" fillId="0" borderId="2" xfId="6" applyFont="1" applyFill="1" applyBorder="1" applyAlignment="1">
      <alignment horizontal="left"/>
    </xf>
    <xf numFmtId="4" fontId="8" fillId="0" borderId="2" xfId="6" applyNumberFormat="1" applyFont="1" applyFill="1" applyBorder="1" applyAlignment="1">
      <alignment horizontal="right"/>
    </xf>
    <xf numFmtId="4" fontId="8" fillId="0" borderId="13" xfId="6" applyNumberFormat="1" applyFont="1" applyFill="1" applyBorder="1" applyAlignment="1">
      <alignment horizontal="right"/>
    </xf>
    <xf numFmtId="0" fontId="10" fillId="0" borderId="9" xfId="6" applyFont="1" applyFill="1" applyBorder="1" applyAlignment="1">
      <alignment horizontal="left"/>
    </xf>
    <xf numFmtId="0" fontId="10" fillId="0" borderId="10" xfId="6" applyFont="1" applyFill="1" applyBorder="1" applyAlignment="1">
      <alignment horizontal="left"/>
    </xf>
    <xf numFmtId="4" fontId="10" fillId="0" borderId="10" xfId="6" applyNumberFormat="1" applyFont="1" applyFill="1" applyBorder="1" applyAlignment="1">
      <alignment horizontal="right"/>
    </xf>
    <xf numFmtId="0" fontId="10" fillId="0" borderId="11" xfId="6" applyFont="1" applyFill="1" applyBorder="1" applyAlignment="1">
      <alignment horizontal="right"/>
    </xf>
    <xf numFmtId="0" fontId="8" fillId="0" borderId="56" xfId="6" applyFont="1" applyFill="1" applyBorder="1" applyAlignment="1">
      <alignment horizontal="right"/>
    </xf>
    <xf numFmtId="0" fontId="1" fillId="4" borderId="0" xfId="6" applyFill="1" applyAlignment="1">
      <alignment horizontal="center"/>
    </xf>
    <xf numFmtId="9" fontId="8" fillId="0" borderId="2" xfId="6" applyNumberFormat="1" applyFont="1" applyFill="1" applyBorder="1" applyAlignment="1">
      <alignment horizontal="left"/>
    </xf>
    <xf numFmtId="4" fontId="8" fillId="0" borderId="56" xfId="6" applyNumberFormat="1" applyFont="1" applyFill="1" applyBorder="1" applyAlignment="1">
      <alignment horizontal="right"/>
    </xf>
    <xf numFmtId="4" fontId="8" fillId="3" borderId="56" xfId="6" applyNumberFormat="1" applyFont="1" applyFill="1" applyBorder="1" applyAlignment="1">
      <alignment horizontal="right"/>
    </xf>
    <xf numFmtId="0" fontId="8" fillId="3" borderId="0" xfId="6" applyFont="1" applyFill="1" applyBorder="1" applyAlignment="1">
      <alignment horizontal="right"/>
    </xf>
    <xf numFmtId="0" fontId="10" fillId="3" borderId="56" xfId="6" applyFont="1" applyFill="1" applyBorder="1" applyAlignment="1">
      <alignment horizontal="center"/>
    </xf>
    <xf numFmtId="0" fontId="10" fillId="3" borderId="0" xfId="6" applyFont="1" applyFill="1" applyBorder="1" applyAlignment="1">
      <alignment horizontal="center"/>
    </xf>
    <xf numFmtId="0" fontId="10" fillId="0" borderId="56" xfId="6" applyFont="1" applyFill="1" applyBorder="1" applyAlignment="1">
      <alignment horizontal="left"/>
    </xf>
    <xf numFmtId="0" fontId="10" fillId="0" borderId="0" xfId="6" applyFont="1" applyFill="1" applyBorder="1" applyAlignment="1">
      <alignment horizontal="left"/>
    </xf>
    <xf numFmtId="0" fontId="10" fillId="0" borderId="55" xfId="6" applyFont="1" applyFill="1" applyBorder="1" applyAlignment="1">
      <alignment horizontal="left"/>
    </xf>
    <xf numFmtId="0" fontId="10" fillId="0" borderId="25" xfId="6" applyFont="1" applyFill="1" applyBorder="1" applyAlignment="1">
      <alignment horizontal="center"/>
    </xf>
    <xf numFmtId="0" fontId="10" fillId="0" borderId="61" xfId="6" applyFont="1" applyFill="1" applyBorder="1" applyAlignment="1">
      <alignment horizontal="center"/>
    </xf>
    <xf numFmtId="0" fontId="10" fillId="0" borderId="36" xfId="6" applyFont="1" applyFill="1" applyBorder="1" applyAlignment="1">
      <alignment horizontal="center"/>
    </xf>
    <xf numFmtId="0" fontId="10" fillId="0" borderId="25" xfId="6" applyFont="1" applyFill="1" applyBorder="1" applyAlignment="1">
      <alignment horizontal="left"/>
    </xf>
    <xf numFmtId="0" fontId="10" fillId="0" borderId="61" xfId="6" applyFont="1" applyFill="1" applyBorder="1" applyAlignment="1">
      <alignment horizontal="left"/>
    </xf>
    <xf numFmtId="0" fontId="10" fillId="0" borderId="36" xfId="6" applyFont="1" applyFill="1" applyBorder="1" applyAlignment="1">
      <alignment horizontal="left"/>
    </xf>
    <xf numFmtId="0" fontId="10" fillId="0" borderId="25" xfId="6" applyFont="1" applyFill="1" applyBorder="1" applyAlignment="1">
      <alignment horizontal="right"/>
    </xf>
    <xf numFmtId="0" fontId="10" fillId="0" borderId="61" xfId="6" applyFont="1" applyFill="1" applyBorder="1" applyAlignment="1">
      <alignment horizontal="right"/>
    </xf>
    <xf numFmtId="0" fontId="10" fillId="0" borderId="2" xfId="6" applyFont="1" applyFill="1" applyBorder="1" applyAlignment="1">
      <alignment horizontal="center" vertical="center"/>
    </xf>
    <xf numFmtId="0" fontId="10" fillId="0" borderId="0" xfId="6" applyFont="1" applyAlignment="1">
      <alignment horizontal="center"/>
    </xf>
  </cellXfs>
  <cellStyles count="8">
    <cellStyle name="Euro" xfId="2"/>
    <cellStyle name="Euro 2" xfId="4"/>
    <cellStyle name="Euro 3" xfId="5"/>
    <cellStyle name="Moneda 2" xfId="7"/>
    <cellStyle name="Normal" xfId="0" builtinId="0"/>
    <cellStyle name="Normal 2" xfId="3"/>
    <cellStyle name="Normal 3" xfId="1"/>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2"/>
  <sheetViews>
    <sheetView tabSelected="1" zoomScale="98" zoomScaleNormal="98" workbookViewId="0">
      <selection activeCell="D19" sqref="D19"/>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9" style="1" customWidth="1"/>
    <col min="6" max="6" width="10.33203125" style="1" bestFit="1" customWidth="1"/>
    <col min="7" max="7" width="8.33203125" style="1" customWidth="1"/>
    <col min="8" max="8" width="10.33203125" style="1" customWidth="1"/>
    <col min="9" max="9" width="8.33203125" style="1" customWidth="1"/>
    <col min="10" max="10" width="10.33203125" style="1" bestFit="1" customWidth="1"/>
    <col min="11" max="11" width="10.44140625" style="1" customWidth="1"/>
    <col min="12" max="16384" width="11.5546875" style="1"/>
  </cols>
  <sheetData>
    <row r="1" spans="1:11" ht="16.5" x14ac:dyDescent="0.25">
      <c r="A1" s="321" t="s">
        <v>27</v>
      </c>
      <c r="B1" s="321"/>
      <c r="C1" s="321"/>
      <c r="D1" s="321"/>
      <c r="E1" s="321"/>
      <c r="F1" s="321"/>
      <c r="G1" s="321"/>
      <c r="H1" s="321"/>
      <c r="I1" s="321"/>
      <c r="J1" s="321"/>
      <c r="K1" s="321"/>
    </row>
    <row r="2" spans="1:11" ht="15.75" x14ac:dyDescent="0.25">
      <c r="A2" s="322" t="s">
        <v>28</v>
      </c>
      <c r="B2" s="322"/>
      <c r="C2" s="322"/>
      <c r="D2" s="322"/>
      <c r="E2" s="322"/>
      <c r="F2" s="322"/>
      <c r="G2" s="322"/>
      <c r="H2" s="322"/>
      <c r="I2" s="322"/>
      <c r="J2" s="322"/>
      <c r="K2" s="322"/>
    </row>
    <row r="3" spans="1:11" ht="15" x14ac:dyDescent="0.25">
      <c r="A3" s="328" t="s">
        <v>29</v>
      </c>
      <c r="B3" s="328"/>
      <c r="C3" s="328"/>
      <c r="D3" s="328"/>
      <c r="E3" s="328"/>
      <c r="F3" s="328"/>
      <c r="G3" s="328"/>
      <c r="H3" s="328"/>
      <c r="I3" s="328"/>
      <c r="J3" s="328"/>
      <c r="K3" s="328"/>
    </row>
    <row r="5" spans="1:11" ht="26.25" customHeight="1" x14ac:dyDescent="0.2">
      <c r="A5" s="331" t="s">
        <v>39</v>
      </c>
      <c r="B5" s="331"/>
      <c r="C5" s="331"/>
      <c r="D5" s="331"/>
      <c r="E5" s="331"/>
      <c r="F5" s="331"/>
      <c r="G5" s="331"/>
      <c r="H5" s="331"/>
      <c r="I5" s="331"/>
      <c r="J5" s="331"/>
      <c r="K5" s="331"/>
    </row>
    <row r="6" spans="1:11" ht="15.75" thickBot="1" x14ac:dyDescent="0.3">
      <c r="K6" s="5" t="s">
        <v>34</v>
      </c>
    </row>
    <row r="7" spans="1:11" ht="39.75" customHeight="1" x14ac:dyDescent="0.2">
      <c r="A7" s="323" t="s">
        <v>0</v>
      </c>
      <c r="B7" s="325" t="s">
        <v>23</v>
      </c>
      <c r="C7" s="326"/>
      <c r="D7" s="325" t="s">
        <v>24</v>
      </c>
      <c r="E7" s="326"/>
      <c r="F7" s="327" t="s">
        <v>25</v>
      </c>
      <c r="G7" s="327"/>
      <c r="H7" s="327" t="s">
        <v>37</v>
      </c>
      <c r="I7" s="327"/>
      <c r="J7" s="329" t="s">
        <v>1</v>
      </c>
      <c r="K7" s="330"/>
    </row>
    <row r="8" spans="1:11" ht="28.5" customHeight="1" thickBot="1" x14ac:dyDescent="0.25">
      <c r="A8" s="324"/>
      <c r="B8" s="57" t="s">
        <v>32</v>
      </c>
      <c r="C8" s="57" t="s">
        <v>33</v>
      </c>
      <c r="D8" s="58" t="s">
        <v>32</v>
      </c>
      <c r="E8" s="57" t="s">
        <v>33</v>
      </c>
      <c r="F8" s="57" t="s">
        <v>32</v>
      </c>
      <c r="G8" s="57" t="s">
        <v>33</v>
      </c>
      <c r="H8" s="57" t="s">
        <v>32</v>
      </c>
      <c r="I8" s="57" t="s">
        <v>33</v>
      </c>
      <c r="J8" s="57" t="s">
        <v>32</v>
      </c>
      <c r="K8" s="59" t="s">
        <v>33</v>
      </c>
    </row>
    <row r="9" spans="1:11" x14ac:dyDescent="0.2">
      <c r="A9" s="18" t="s">
        <v>2</v>
      </c>
      <c r="B9" s="19">
        <v>3.6256590000000002</v>
      </c>
      <c r="C9" s="20">
        <f>$C$29*B9/100</f>
        <v>43826761.57734558</v>
      </c>
      <c r="D9" s="21">
        <v>3.4611749999999999</v>
      </c>
      <c r="E9" s="22">
        <f>$E$29*D9/100</f>
        <v>16402768.051571999</v>
      </c>
      <c r="F9" s="19">
        <v>3.8590680000000002</v>
      </c>
      <c r="G9" s="20">
        <f>$G$29*F9/100</f>
        <v>685668.01094280009</v>
      </c>
      <c r="H9" s="19">
        <v>2.4997289999999999</v>
      </c>
      <c r="I9" s="20">
        <f>$I$29*H9/100</f>
        <v>1580562.94840188</v>
      </c>
      <c r="J9" s="19">
        <f>K9/$K$29*100</f>
        <v>3.5434483112399215</v>
      </c>
      <c r="K9" s="23">
        <f t="shared" ref="K9:K28" si="0">C9+E9+G9+I9</f>
        <v>62495760.58826226</v>
      </c>
    </row>
    <row r="10" spans="1:11" x14ac:dyDescent="0.2">
      <c r="A10" s="24" t="s">
        <v>3</v>
      </c>
      <c r="B10" s="25">
        <v>2.5461420000000001</v>
      </c>
      <c r="C10" s="26">
        <f t="shared" ref="C10:C28" si="1">$C$29*B10/100</f>
        <v>30777620.94451404</v>
      </c>
      <c r="D10" s="27">
        <v>2.317984</v>
      </c>
      <c r="E10" s="28">
        <f t="shared" ref="E10:E28" si="2">$E$29*D10/100</f>
        <v>10985100.11751936</v>
      </c>
      <c r="F10" s="25">
        <v>5.8395539999999997</v>
      </c>
      <c r="G10" s="26">
        <f t="shared" ref="G10:G28" si="3">$G$29*F10/100</f>
        <v>1037555.0200134</v>
      </c>
      <c r="H10" s="25">
        <v>0.99531400000000003</v>
      </c>
      <c r="I10" s="26">
        <f t="shared" ref="I10:I28" si="4">$I$29*H10/100</f>
        <v>629330.79162807995</v>
      </c>
      <c r="J10" s="25">
        <f t="shared" ref="J10:J28" si="5">K10/$K$29*100</f>
        <v>2.462416101280958</v>
      </c>
      <c r="K10" s="29">
        <f t="shared" si="0"/>
        <v>43429606.873674877</v>
      </c>
    </row>
    <row r="11" spans="1:11" x14ac:dyDescent="0.2">
      <c r="A11" s="24" t="s">
        <v>4</v>
      </c>
      <c r="B11" s="25">
        <v>2.4166280000000002</v>
      </c>
      <c r="C11" s="26">
        <f t="shared" si="1"/>
        <v>29212063.014513362</v>
      </c>
      <c r="D11" s="27">
        <v>2.1781079999999999</v>
      </c>
      <c r="E11" s="28">
        <f t="shared" si="2"/>
        <v>10322217.25722432</v>
      </c>
      <c r="F11" s="25">
        <v>6.2055129999999998</v>
      </c>
      <c r="G11" s="26">
        <f t="shared" si="3"/>
        <v>1102577.5538522999</v>
      </c>
      <c r="H11" s="25">
        <v>0.72784700000000002</v>
      </c>
      <c r="I11" s="26">
        <f t="shared" si="4"/>
        <v>460213.08722083998</v>
      </c>
      <c r="J11" s="25">
        <f t="shared" si="5"/>
        <v>2.3301636007332251</v>
      </c>
      <c r="K11" s="29">
        <f t="shared" si="0"/>
        <v>41097070.912810817</v>
      </c>
    </row>
    <row r="12" spans="1:11" x14ac:dyDescent="0.2">
      <c r="A12" s="24" t="s">
        <v>5</v>
      </c>
      <c r="B12" s="25">
        <v>3.926218</v>
      </c>
      <c r="C12" s="26">
        <f t="shared" si="1"/>
        <v>47459901.823829167</v>
      </c>
      <c r="D12" s="27">
        <v>3.9999099999999999</v>
      </c>
      <c r="E12" s="28">
        <f t="shared" si="2"/>
        <v>18955873.643246401</v>
      </c>
      <c r="F12" s="25">
        <v>5.0861080000000003</v>
      </c>
      <c r="G12" s="26">
        <f t="shared" si="3"/>
        <v>903684.91972680006</v>
      </c>
      <c r="H12" s="25">
        <v>12.795883999999999</v>
      </c>
      <c r="I12" s="26">
        <f t="shared" si="4"/>
        <v>8090757.0950484797</v>
      </c>
      <c r="J12" s="25">
        <f t="shared" si="5"/>
        <v>4.2756853468311338</v>
      </c>
      <c r="K12" s="29">
        <f t="shared" si="0"/>
        <v>75410217.481850863</v>
      </c>
    </row>
    <row r="13" spans="1:11" x14ac:dyDescent="0.2">
      <c r="A13" s="24" t="s">
        <v>6</v>
      </c>
      <c r="B13" s="25">
        <v>4.8155679999999998</v>
      </c>
      <c r="C13" s="26">
        <f t="shared" si="1"/>
        <v>58210314.482276157</v>
      </c>
      <c r="D13" s="27">
        <v>4.644107</v>
      </c>
      <c r="E13" s="28">
        <f t="shared" si="2"/>
        <v>22008771.566789281</v>
      </c>
      <c r="F13" s="25">
        <v>2.9226429999999999</v>
      </c>
      <c r="G13" s="26">
        <f t="shared" si="3"/>
        <v>519286.73257529997</v>
      </c>
      <c r="H13" s="25">
        <v>5.1220379999999999</v>
      </c>
      <c r="I13" s="26">
        <f t="shared" si="4"/>
        <v>3238632.4610013599</v>
      </c>
      <c r="J13" s="25">
        <f t="shared" si="5"/>
        <v>4.7614138080577968</v>
      </c>
      <c r="K13" s="29">
        <f t="shared" si="0"/>
        <v>83977005.242642105</v>
      </c>
    </row>
    <row r="14" spans="1:11" x14ac:dyDescent="0.2">
      <c r="A14" s="24" t="s">
        <v>7</v>
      </c>
      <c r="B14" s="25">
        <v>1.877135</v>
      </c>
      <c r="C14" s="26">
        <f t="shared" si="1"/>
        <v>22690702.0471287</v>
      </c>
      <c r="D14" s="27">
        <v>1.47235</v>
      </c>
      <c r="E14" s="28">
        <f t="shared" si="2"/>
        <v>6977577.1351439999</v>
      </c>
      <c r="F14" s="25">
        <v>9.8543430000000001</v>
      </c>
      <c r="G14" s="26">
        <f t="shared" si="3"/>
        <v>1750891.0866453</v>
      </c>
      <c r="H14" s="25">
        <v>2.116358</v>
      </c>
      <c r="I14" s="26">
        <f t="shared" si="4"/>
        <v>1338159.8726717599</v>
      </c>
      <c r="J14" s="25">
        <f t="shared" si="5"/>
        <v>1.8573084810611202</v>
      </c>
      <c r="K14" s="29">
        <f t="shared" si="0"/>
        <v>32757330.141589761</v>
      </c>
    </row>
    <row r="15" spans="1:11" x14ac:dyDescent="0.2">
      <c r="A15" s="24" t="s">
        <v>8</v>
      </c>
      <c r="B15" s="25">
        <v>1.7032229999999999</v>
      </c>
      <c r="C15" s="26">
        <f t="shared" si="1"/>
        <v>20588463.596287262</v>
      </c>
      <c r="D15" s="27">
        <v>1.4348749999999999</v>
      </c>
      <c r="E15" s="28">
        <f t="shared" si="2"/>
        <v>6799980.2980199996</v>
      </c>
      <c r="F15" s="25">
        <v>9.6606000000000005</v>
      </c>
      <c r="G15" s="26">
        <f t="shared" si="3"/>
        <v>1716467.3922600001</v>
      </c>
      <c r="H15" s="25">
        <v>0.72962700000000003</v>
      </c>
      <c r="I15" s="26">
        <f t="shared" si="4"/>
        <v>461338.57004243997</v>
      </c>
      <c r="J15" s="25">
        <f t="shared" si="5"/>
        <v>1.6763773596473055</v>
      </c>
      <c r="K15" s="29">
        <f t="shared" si="0"/>
        <v>29566249.856609702</v>
      </c>
    </row>
    <row r="16" spans="1:11" x14ac:dyDescent="0.2">
      <c r="A16" s="24" t="s">
        <v>9</v>
      </c>
      <c r="B16" s="25">
        <v>3.1540020000000002</v>
      </c>
      <c r="C16" s="26">
        <f t="shared" si="1"/>
        <v>38125398.353367239</v>
      </c>
      <c r="D16" s="27">
        <v>3.011917</v>
      </c>
      <c r="E16" s="28">
        <f t="shared" si="2"/>
        <v>14273700.67725168</v>
      </c>
      <c r="F16" s="25">
        <v>4.483352</v>
      </c>
      <c r="G16" s="26">
        <f t="shared" si="3"/>
        <v>796588.98163920001</v>
      </c>
      <c r="H16" s="25">
        <v>1.8522240000000001</v>
      </c>
      <c r="I16" s="26">
        <f t="shared" si="4"/>
        <v>1171149.6032332801</v>
      </c>
      <c r="J16" s="25">
        <f t="shared" si="5"/>
        <v>3.082546353908207</v>
      </c>
      <c r="K16" s="29">
        <f t="shared" si="0"/>
        <v>54366837.615491398</v>
      </c>
    </row>
    <row r="17" spans="1:11" x14ac:dyDescent="0.2">
      <c r="A17" s="24" t="s">
        <v>10</v>
      </c>
      <c r="B17" s="25">
        <v>2.8619819999999998</v>
      </c>
      <c r="C17" s="26">
        <f t="shared" si="1"/>
        <v>34595477.057454839</v>
      </c>
      <c r="D17" s="27">
        <v>2.6320299999999999</v>
      </c>
      <c r="E17" s="28">
        <f t="shared" si="2"/>
        <v>12473387.6775312</v>
      </c>
      <c r="F17" s="25">
        <v>5.0861080000000003</v>
      </c>
      <c r="G17" s="26">
        <f t="shared" si="3"/>
        <v>903684.91972680006</v>
      </c>
      <c r="H17" s="25">
        <v>1.126336</v>
      </c>
      <c r="I17" s="26">
        <f t="shared" si="4"/>
        <v>712175.17940992001</v>
      </c>
      <c r="J17" s="25">
        <f t="shared" si="5"/>
        <v>2.7603761338821613</v>
      </c>
      <c r="K17" s="29">
        <f t="shared" si="0"/>
        <v>48684724.834122755</v>
      </c>
    </row>
    <row r="18" spans="1:11" x14ac:dyDescent="0.2">
      <c r="A18" s="24" t="s">
        <v>11</v>
      </c>
      <c r="B18" s="25">
        <v>1.832665</v>
      </c>
      <c r="C18" s="26">
        <f t="shared" si="1"/>
        <v>22153151.1943473</v>
      </c>
      <c r="D18" s="27">
        <v>1.5021199999999999</v>
      </c>
      <c r="E18" s="28">
        <f t="shared" si="2"/>
        <v>7118659.399084799</v>
      </c>
      <c r="F18" s="25">
        <v>9.2192959999999999</v>
      </c>
      <c r="G18" s="26">
        <f t="shared" si="3"/>
        <v>1638057.7773216001</v>
      </c>
      <c r="H18" s="25">
        <v>0.83672599999999997</v>
      </c>
      <c r="I18" s="26">
        <f t="shared" si="4"/>
        <v>529056.59516071994</v>
      </c>
      <c r="J18" s="25">
        <f t="shared" si="5"/>
        <v>1.7825562010776013</v>
      </c>
      <c r="K18" s="29">
        <f t="shared" si="0"/>
        <v>31438924.965914417</v>
      </c>
    </row>
    <row r="19" spans="1:11" x14ac:dyDescent="0.2">
      <c r="A19" s="24" t="s">
        <v>12</v>
      </c>
      <c r="B19" s="25">
        <v>3.0458799999999999</v>
      </c>
      <c r="C19" s="26">
        <f t="shared" si="1"/>
        <v>36818425.713285595</v>
      </c>
      <c r="D19" s="27">
        <v>3.1734909999999998</v>
      </c>
      <c r="E19" s="28">
        <f t="shared" si="2"/>
        <v>15039411.98776464</v>
      </c>
      <c r="F19" s="25">
        <v>5.0215269999999999</v>
      </c>
      <c r="G19" s="26">
        <f t="shared" si="3"/>
        <v>892210.35493169993</v>
      </c>
      <c r="H19" s="25">
        <v>2.2480540000000002</v>
      </c>
      <c r="I19" s="26">
        <f t="shared" si="4"/>
        <v>1421430.4264208802</v>
      </c>
      <c r="J19" s="25">
        <f t="shared" si="5"/>
        <v>3.0714696827274413</v>
      </c>
      <c r="K19" s="29">
        <f t="shared" si="0"/>
        <v>54171478.482402816</v>
      </c>
    </row>
    <row r="20" spans="1:11" x14ac:dyDescent="0.2">
      <c r="A20" s="24" t="s">
        <v>13</v>
      </c>
      <c r="B20" s="25">
        <v>3.9648029999999999</v>
      </c>
      <c r="C20" s="26">
        <f t="shared" si="1"/>
        <v>47926315.12840686</v>
      </c>
      <c r="D20" s="27">
        <v>3.1390259999999999</v>
      </c>
      <c r="E20" s="28">
        <f t="shared" si="2"/>
        <v>14876079.76651104</v>
      </c>
      <c r="F20" s="25">
        <v>4.2357909999999999</v>
      </c>
      <c r="G20" s="26">
        <f t="shared" si="3"/>
        <v>752603.06108610006</v>
      </c>
      <c r="H20" s="25">
        <v>1.4927379999999999</v>
      </c>
      <c r="I20" s="26">
        <f t="shared" si="4"/>
        <v>943848.86300535989</v>
      </c>
      <c r="J20" s="25">
        <f t="shared" si="5"/>
        <v>3.6570213353106431</v>
      </c>
      <c r="K20" s="29">
        <f t="shared" si="0"/>
        <v>64498846.819009364</v>
      </c>
    </row>
    <row r="21" spans="1:11" x14ac:dyDescent="0.2">
      <c r="A21" s="24" t="s">
        <v>14</v>
      </c>
      <c r="B21" s="25">
        <v>4.6188929999999999</v>
      </c>
      <c r="C21" s="26">
        <f t="shared" si="1"/>
        <v>55832918.170812652</v>
      </c>
      <c r="D21" s="27">
        <v>4.4267050000000001</v>
      </c>
      <c r="E21" s="28">
        <f t="shared" si="2"/>
        <v>20978487.174943201</v>
      </c>
      <c r="F21" s="25">
        <v>2.890352</v>
      </c>
      <c r="G21" s="26">
        <f t="shared" si="3"/>
        <v>513549.3613392</v>
      </c>
      <c r="H21" s="25">
        <v>2.6483569999999999</v>
      </c>
      <c r="I21" s="26">
        <f t="shared" si="4"/>
        <v>1674539.4994180398</v>
      </c>
      <c r="J21" s="25">
        <f t="shared" si="5"/>
        <v>4.4791938157074345</v>
      </c>
      <c r="K21" s="29">
        <f t="shared" si="0"/>
        <v>78999494.206513077</v>
      </c>
    </row>
    <row r="22" spans="1:11" x14ac:dyDescent="0.2">
      <c r="A22" s="24" t="s">
        <v>26</v>
      </c>
      <c r="B22" s="25">
        <v>2.2295660000000002</v>
      </c>
      <c r="C22" s="26">
        <f t="shared" si="1"/>
        <v>26950868.105068922</v>
      </c>
      <c r="D22" s="27">
        <v>2.3095479999999999</v>
      </c>
      <c r="E22" s="28">
        <f t="shared" si="2"/>
        <v>10945121.28048192</v>
      </c>
      <c r="F22" s="25">
        <v>6.8297970000000001</v>
      </c>
      <c r="G22" s="26">
        <f t="shared" si="3"/>
        <v>1213498.5245487001</v>
      </c>
      <c r="H22" s="25">
        <v>0.49551299999999998</v>
      </c>
      <c r="I22" s="26">
        <f t="shared" si="4"/>
        <v>313309.75807836</v>
      </c>
      <c r="J22" s="25">
        <f t="shared" si="5"/>
        <v>2.2352339503792629</v>
      </c>
      <c r="K22" s="29">
        <f t="shared" si="0"/>
        <v>39422797.668177903</v>
      </c>
    </row>
    <row r="23" spans="1:11" x14ac:dyDescent="0.2">
      <c r="A23" s="24" t="s">
        <v>15</v>
      </c>
      <c r="B23" s="25">
        <v>2.8923100000000002</v>
      </c>
      <c r="C23" s="26">
        <f t="shared" si="1"/>
        <v>34962080.211562201</v>
      </c>
      <c r="D23" s="27">
        <v>2.6420620000000001</v>
      </c>
      <c r="E23" s="28">
        <f t="shared" si="2"/>
        <v>12520930.078332482</v>
      </c>
      <c r="F23" s="25">
        <v>5.0861080000000003</v>
      </c>
      <c r="G23" s="26">
        <f t="shared" si="3"/>
        <v>903684.91972680006</v>
      </c>
      <c r="H23" s="25">
        <v>1.514176</v>
      </c>
      <c r="I23" s="26">
        <f t="shared" si="4"/>
        <v>957403.97577471996</v>
      </c>
      <c r="J23" s="25">
        <f t="shared" si="5"/>
        <v>2.7977620126922136</v>
      </c>
      <c r="K23" s="29">
        <f t="shared" si="0"/>
        <v>49344099.185396202</v>
      </c>
    </row>
    <row r="24" spans="1:11" x14ac:dyDescent="0.2">
      <c r="A24" s="24" t="s">
        <v>16</v>
      </c>
      <c r="B24" s="25">
        <v>7.9841870000000004</v>
      </c>
      <c r="C24" s="26">
        <f t="shared" si="1"/>
        <v>96512402.307536945</v>
      </c>
      <c r="D24" s="27">
        <v>9.3761329999999994</v>
      </c>
      <c r="E24" s="28">
        <f t="shared" si="2"/>
        <v>44434197.872020319</v>
      </c>
      <c r="F24" s="25">
        <v>1.4480420000000001</v>
      </c>
      <c r="G24" s="26">
        <f t="shared" si="3"/>
        <v>257283.90323820003</v>
      </c>
      <c r="H24" s="25">
        <v>6.1639140000000001</v>
      </c>
      <c r="I24" s="26">
        <f t="shared" si="4"/>
        <v>3897404.11282008</v>
      </c>
      <c r="J24" s="25">
        <f t="shared" si="5"/>
        <v>8.2271006829231013</v>
      </c>
      <c r="K24" s="29">
        <f t="shared" si="0"/>
        <v>145101288.19561556</v>
      </c>
    </row>
    <row r="25" spans="1:11" x14ac:dyDescent="0.2">
      <c r="A25" s="24" t="s">
        <v>17</v>
      </c>
      <c r="B25" s="25">
        <v>3.6397040000000001</v>
      </c>
      <c r="C25" s="26">
        <f t="shared" si="1"/>
        <v>43996536.74548848</v>
      </c>
      <c r="D25" s="27">
        <v>3.3741729999999999</v>
      </c>
      <c r="E25" s="28">
        <f t="shared" si="2"/>
        <v>15990459.044941919</v>
      </c>
      <c r="F25" s="25">
        <v>4.0097569999999996</v>
      </c>
      <c r="G25" s="26">
        <f t="shared" si="3"/>
        <v>712441.99546469981</v>
      </c>
      <c r="H25" s="25">
        <v>2.713721</v>
      </c>
      <c r="I25" s="26">
        <f t="shared" si="4"/>
        <v>1715868.7461321198</v>
      </c>
      <c r="J25" s="25">
        <f t="shared" si="5"/>
        <v>3.538886645184256</v>
      </c>
      <c r="K25" s="29">
        <f t="shared" si="0"/>
        <v>62415306.532027215</v>
      </c>
    </row>
    <row r="26" spans="1:11" x14ac:dyDescent="0.2">
      <c r="A26" s="24" t="s">
        <v>18</v>
      </c>
      <c r="B26" s="25">
        <v>35.878711000000003</v>
      </c>
      <c r="C26" s="26">
        <f t="shared" si="1"/>
        <v>433699835.72627389</v>
      </c>
      <c r="D26" s="27">
        <v>37.952648000000003</v>
      </c>
      <c r="E26" s="28">
        <f t="shared" si="2"/>
        <v>179860446.83870593</v>
      </c>
      <c r="F26" s="25">
        <v>1.6494999999999999E-2</v>
      </c>
      <c r="G26" s="26">
        <f t="shared" si="3"/>
        <v>2930.7837645</v>
      </c>
      <c r="H26" s="25">
        <v>48.584386000000002</v>
      </c>
      <c r="I26" s="26">
        <f t="shared" si="4"/>
        <v>30719602.15785592</v>
      </c>
      <c r="J26" s="25">
        <f t="shared" si="5"/>
        <v>36.530203538262825</v>
      </c>
      <c r="K26" s="29">
        <f t="shared" si="0"/>
        <v>644282815.50660014</v>
      </c>
    </row>
    <row r="27" spans="1:11" x14ac:dyDescent="0.2">
      <c r="A27" s="24" t="s">
        <v>19</v>
      </c>
      <c r="B27" s="25">
        <v>3.6200429999999999</v>
      </c>
      <c r="C27" s="26">
        <f t="shared" si="1"/>
        <v>43758875.685975656</v>
      </c>
      <c r="D27" s="27">
        <v>3.832741</v>
      </c>
      <c r="E27" s="28">
        <f t="shared" si="2"/>
        <v>18163647.20788464</v>
      </c>
      <c r="F27" s="25">
        <v>3.676088</v>
      </c>
      <c r="G27" s="26">
        <f t="shared" si="3"/>
        <v>653156.65518480004</v>
      </c>
      <c r="H27" s="25">
        <v>1.984081</v>
      </c>
      <c r="I27" s="26">
        <f t="shared" si="4"/>
        <v>1254521.9562713199</v>
      </c>
      <c r="J27" s="25">
        <f t="shared" si="5"/>
        <v>3.6191098020270753</v>
      </c>
      <c r="K27" s="29">
        <f t="shared" si="0"/>
        <v>63830201.505316414</v>
      </c>
    </row>
    <row r="28" spans="1:11" ht="15" thickBot="1" x14ac:dyDescent="0.25">
      <c r="A28" s="30" t="s">
        <v>20</v>
      </c>
      <c r="B28" s="31">
        <v>3.3666809999999998</v>
      </c>
      <c r="C28" s="32">
        <f t="shared" si="1"/>
        <v>40696250.114525221</v>
      </c>
      <c r="D28" s="33">
        <v>3.118897</v>
      </c>
      <c r="E28" s="34">
        <f t="shared" si="2"/>
        <v>14780686.92503088</v>
      </c>
      <c r="F28" s="31">
        <v>4.569458</v>
      </c>
      <c r="G28" s="32">
        <f t="shared" si="3"/>
        <v>811888.04601180006</v>
      </c>
      <c r="H28" s="31">
        <v>3.3529770000000001</v>
      </c>
      <c r="I28" s="32">
        <f t="shared" si="4"/>
        <v>2120066.3004044401</v>
      </c>
      <c r="J28" s="31">
        <f t="shared" si="5"/>
        <v>3.3117268370663187</v>
      </c>
      <c r="K28" s="35">
        <f t="shared" si="0"/>
        <v>58408891.385972336</v>
      </c>
    </row>
    <row r="29" spans="1:11" ht="15" thickBot="1" x14ac:dyDescent="0.25">
      <c r="A29" s="60" t="s">
        <v>1</v>
      </c>
      <c r="B29" s="61">
        <f>SUM(B9:B28)</f>
        <v>100.00000000000001</v>
      </c>
      <c r="C29" s="62">
        <v>1208794362</v>
      </c>
      <c r="D29" s="61">
        <f t="shared" ref="D29:H29" si="6">SUM(D9:D28)</f>
        <v>100</v>
      </c>
      <c r="E29" s="62">
        <v>473907504</v>
      </c>
      <c r="F29" s="61">
        <f t="shared" si="6"/>
        <v>100</v>
      </c>
      <c r="G29" s="62">
        <v>17767710</v>
      </c>
      <c r="H29" s="61">
        <f t="shared" si="6"/>
        <v>100</v>
      </c>
      <c r="I29" s="62">
        <v>63229372</v>
      </c>
      <c r="J29" s="61">
        <f>SUM(J9:J28)</f>
        <v>99.999999999999986</v>
      </c>
      <c r="K29" s="63">
        <f>SUM(K9:K28)</f>
        <v>1763698948</v>
      </c>
    </row>
    <row r="30" spans="1:11" x14ac:dyDescent="0.2">
      <c r="A30" s="38" t="s">
        <v>38</v>
      </c>
      <c r="B30" s="36"/>
      <c r="C30" s="37"/>
      <c r="D30" s="36"/>
      <c r="E30" s="37"/>
      <c r="F30" s="36"/>
      <c r="G30" s="37"/>
      <c r="H30" s="37"/>
      <c r="I30" s="37"/>
      <c r="J30" s="36"/>
      <c r="K30" s="36"/>
    </row>
    <row r="31" spans="1:11" x14ac:dyDescent="0.2">
      <c r="A31" s="38"/>
      <c r="B31" s="36"/>
      <c r="C31" s="37"/>
      <c r="D31" s="36"/>
      <c r="E31" s="37"/>
      <c r="F31" s="36"/>
      <c r="G31" s="37"/>
      <c r="H31" s="37"/>
      <c r="I31" s="37"/>
      <c r="J31" s="36"/>
      <c r="K31" s="36"/>
    </row>
    <row r="32" spans="1:11" ht="29.25" customHeight="1" x14ac:dyDescent="0.2">
      <c r="A32" s="320" t="s">
        <v>42</v>
      </c>
      <c r="B32" s="320"/>
      <c r="C32" s="320"/>
      <c r="D32" s="320"/>
      <c r="E32" s="320"/>
      <c r="F32" s="320"/>
      <c r="G32" s="320"/>
      <c r="H32" s="320"/>
      <c r="I32" s="320"/>
      <c r="J32" s="320"/>
      <c r="K32" s="320"/>
    </row>
    <row r="33" spans="1:11" x14ac:dyDescent="0.2">
      <c r="A33" s="38"/>
      <c r="B33" s="39"/>
      <c r="C33" s="40"/>
      <c r="D33" s="39"/>
      <c r="E33" s="39"/>
      <c r="F33" s="40"/>
      <c r="G33" s="40"/>
      <c r="H33" s="40"/>
      <c r="I33" s="41"/>
      <c r="J33" s="41"/>
      <c r="K33" s="41"/>
    </row>
    <row r="34" spans="1:11" x14ac:dyDescent="0.2">
      <c r="A34" s="38"/>
      <c r="B34" s="42"/>
      <c r="C34" s="43"/>
      <c r="D34" s="36"/>
      <c r="E34" s="37"/>
      <c r="F34" s="40"/>
      <c r="G34" s="40"/>
      <c r="H34" s="40"/>
      <c r="I34" s="72"/>
      <c r="J34" s="44"/>
      <c r="K34" s="44"/>
    </row>
    <row r="35" spans="1:11" x14ac:dyDescent="0.2">
      <c r="A35" s="9"/>
      <c r="B35" s="10"/>
      <c r="C35" s="10"/>
      <c r="D35" s="10"/>
      <c r="E35" s="10"/>
      <c r="F35" s="10"/>
      <c r="G35" s="10"/>
      <c r="H35" s="10"/>
      <c r="I35" s="10"/>
      <c r="J35" s="7"/>
      <c r="K35" s="7"/>
    </row>
    <row r="36" spans="1:11" x14ac:dyDescent="0.2">
      <c r="A36" s="9"/>
      <c r="B36" s="10"/>
      <c r="C36" s="10"/>
      <c r="D36" s="10"/>
      <c r="E36" s="10"/>
      <c r="F36" s="10"/>
      <c r="G36" s="10"/>
      <c r="H36" s="10"/>
      <c r="I36" s="10"/>
      <c r="J36" s="7"/>
      <c r="K36" s="7"/>
    </row>
    <row r="37" spans="1:11" x14ac:dyDescent="0.2">
      <c r="A37" s="9"/>
      <c r="B37" s="10"/>
      <c r="C37" s="10"/>
      <c r="D37" s="10"/>
      <c r="E37" s="10"/>
      <c r="F37" s="10"/>
      <c r="G37" s="10"/>
      <c r="H37" s="10"/>
      <c r="I37" s="10"/>
      <c r="J37" s="7"/>
      <c r="K37" s="7"/>
    </row>
    <row r="38" spans="1:11" x14ac:dyDescent="0.2">
      <c r="A38" s="9"/>
      <c r="B38" s="10"/>
      <c r="C38" s="10"/>
      <c r="D38" s="10"/>
      <c r="E38" s="10"/>
      <c r="F38" s="10"/>
      <c r="G38" s="10"/>
      <c r="H38" s="10"/>
      <c r="I38" s="10"/>
      <c r="J38" s="7"/>
      <c r="K38" s="7"/>
    </row>
    <row r="39" spans="1:11" x14ac:dyDescent="0.2">
      <c r="A39" s="9"/>
      <c r="B39" s="10"/>
      <c r="C39" s="10"/>
      <c r="D39" s="10"/>
      <c r="E39" s="10"/>
      <c r="F39" s="10"/>
      <c r="G39" s="10"/>
      <c r="H39" s="10"/>
      <c r="I39" s="10"/>
      <c r="J39" s="7"/>
      <c r="K39" s="7"/>
    </row>
    <row r="40" spans="1:11" x14ac:dyDescent="0.2">
      <c r="A40" s="9"/>
      <c r="B40" s="10"/>
      <c r="C40" s="10"/>
      <c r="D40" s="10"/>
      <c r="E40" s="10"/>
      <c r="F40" s="10"/>
      <c r="G40" s="10"/>
      <c r="H40" s="10"/>
      <c r="I40" s="10"/>
      <c r="J40" s="7"/>
      <c r="K40" s="7"/>
    </row>
    <row r="41" spans="1:11" x14ac:dyDescent="0.2">
      <c r="A41" s="9"/>
      <c r="B41" s="10"/>
      <c r="C41" s="10"/>
      <c r="D41" s="10"/>
      <c r="E41" s="10"/>
      <c r="F41" s="10"/>
      <c r="G41" s="10"/>
      <c r="H41" s="10"/>
      <c r="I41" s="10"/>
      <c r="J41" s="7"/>
      <c r="K41" s="7"/>
    </row>
    <row r="42" spans="1:11" x14ac:dyDescent="0.2">
      <c r="A42" s="9"/>
      <c r="B42" s="10"/>
      <c r="C42" s="10"/>
      <c r="D42" s="10"/>
      <c r="E42" s="10"/>
      <c r="F42" s="10"/>
      <c r="G42" s="10"/>
      <c r="H42" s="10"/>
      <c r="I42" s="10"/>
      <c r="J42" s="7"/>
      <c r="K42" s="7"/>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ageMargins left="0.11811023622047245" right="0.39370078740157483" top="0.35433070866141736" bottom="0.39370078740157483" header="0.31496062992125984" footer="0.31496062992125984"/>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8"/>
  <sheetViews>
    <sheetView topLeftCell="A5" zoomScaleNormal="100" workbookViewId="0">
      <selection activeCell="A34" sqref="A34"/>
    </sheetView>
  </sheetViews>
  <sheetFormatPr baseColWidth="10" defaultRowHeight="14.25" x14ac:dyDescent="0.2"/>
  <cols>
    <col min="1" max="1" width="19.44140625" style="1" customWidth="1"/>
    <col min="2" max="2" width="10.33203125" style="1" bestFit="1" customWidth="1"/>
    <col min="3" max="3" width="10.5546875" style="1" customWidth="1"/>
    <col min="4" max="4" width="9.88671875" style="1" customWidth="1"/>
    <col min="5" max="5" width="9" style="1" customWidth="1"/>
    <col min="6" max="6" width="10.33203125" style="1" bestFit="1" customWidth="1"/>
    <col min="7" max="7" width="8.21875" style="1" customWidth="1"/>
    <col min="8" max="8" width="10.33203125" style="1" bestFit="1" customWidth="1"/>
    <col min="9" max="9" width="8.33203125" style="1" customWidth="1"/>
    <col min="10" max="10" width="9.5546875" style="1" customWidth="1"/>
    <col min="11" max="11" width="10.6640625" style="1" customWidth="1"/>
    <col min="12" max="16384" width="11.5546875" style="1"/>
  </cols>
  <sheetData>
    <row r="1" spans="1:11" x14ac:dyDescent="0.2">
      <c r="A1" s="333" t="s">
        <v>27</v>
      </c>
      <c r="B1" s="333"/>
      <c r="C1" s="333"/>
      <c r="D1" s="333"/>
      <c r="E1" s="333"/>
      <c r="F1" s="333"/>
      <c r="G1" s="333"/>
      <c r="H1" s="333"/>
      <c r="I1" s="333"/>
      <c r="J1" s="333"/>
      <c r="K1" s="333"/>
    </row>
    <row r="2" spans="1:11" x14ac:dyDescent="0.2">
      <c r="A2" s="333" t="s">
        <v>28</v>
      </c>
      <c r="B2" s="333"/>
      <c r="C2" s="333"/>
      <c r="D2" s="333"/>
      <c r="E2" s="333"/>
      <c r="F2" s="333"/>
      <c r="G2" s="333"/>
      <c r="H2" s="333"/>
      <c r="I2" s="333"/>
      <c r="J2" s="333"/>
      <c r="K2" s="333"/>
    </row>
    <row r="3" spans="1:11" x14ac:dyDescent="0.2">
      <c r="A3" s="333" t="s">
        <v>29</v>
      </c>
      <c r="B3" s="333"/>
      <c r="C3" s="333"/>
      <c r="D3" s="333"/>
      <c r="E3" s="333"/>
      <c r="F3" s="333"/>
      <c r="G3" s="333"/>
      <c r="H3" s="333"/>
      <c r="I3" s="333"/>
      <c r="J3" s="333"/>
      <c r="K3" s="333"/>
    </row>
    <row r="4" spans="1:11" x14ac:dyDescent="0.2">
      <c r="A4" s="36"/>
      <c r="B4" s="36"/>
      <c r="C4" s="36"/>
      <c r="D4" s="36"/>
      <c r="E4" s="36"/>
      <c r="F4" s="36"/>
      <c r="G4" s="36"/>
      <c r="H4" s="36"/>
      <c r="I4" s="36"/>
      <c r="J4" s="36"/>
      <c r="K4" s="36"/>
    </row>
    <row r="5" spans="1:11" ht="15" customHeight="1" x14ac:dyDescent="0.2">
      <c r="A5" s="335" t="s">
        <v>40</v>
      </c>
      <c r="B5" s="335"/>
      <c r="C5" s="335"/>
      <c r="D5" s="335"/>
      <c r="E5" s="335"/>
      <c r="F5" s="335"/>
      <c r="G5" s="335"/>
      <c r="H5" s="335"/>
      <c r="I5" s="335"/>
      <c r="J5" s="335"/>
      <c r="K5" s="335"/>
    </row>
    <row r="6" spans="1:11" ht="15" customHeight="1" x14ac:dyDescent="0.2">
      <c r="A6" s="335"/>
      <c r="B6" s="335"/>
      <c r="C6" s="335"/>
      <c r="D6" s="335"/>
      <c r="E6" s="335"/>
      <c r="F6" s="335"/>
      <c r="G6" s="335"/>
      <c r="H6" s="335"/>
      <c r="I6" s="335"/>
      <c r="J6" s="335"/>
      <c r="K6" s="335"/>
    </row>
    <row r="7" spans="1:11" ht="15" thickBot="1" x14ac:dyDescent="0.25">
      <c r="A7" s="36"/>
      <c r="B7" s="36"/>
      <c r="C7" s="36"/>
      <c r="D7" s="36"/>
      <c r="E7" s="36"/>
      <c r="F7" s="36"/>
      <c r="G7" s="36"/>
      <c r="H7" s="36"/>
      <c r="I7" s="36"/>
      <c r="J7" s="36"/>
      <c r="K7" s="45" t="s">
        <v>35</v>
      </c>
    </row>
    <row r="8" spans="1:11" ht="39.75" customHeight="1" x14ac:dyDescent="0.2">
      <c r="A8" s="323" t="s">
        <v>0</v>
      </c>
      <c r="B8" s="327" t="s">
        <v>31</v>
      </c>
      <c r="C8" s="327"/>
      <c r="D8" s="327" t="s">
        <v>24</v>
      </c>
      <c r="E8" s="327"/>
      <c r="F8" s="327" t="s">
        <v>25</v>
      </c>
      <c r="G8" s="327"/>
      <c r="H8" s="327" t="s">
        <v>37</v>
      </c>
      <c r="I8" s="327"/>
      <c r="J8" s="329" t="s">
        <v>1</v>
      </c>
      <c r="K8" s="330"/>
    </row>
    <row r="9" spans="1:11" ht="28.5" customHeight="1" thickBot="1" x14ac:dyDescent="0.25">
      <c r="A9" s="334"/>
      <c r="B9" s="64" t="s">
        <v>32</v>
      </c>
      <c r="C9" s="64" t="s">
        <v>33</v>
      </c>
      <c r="D9" s="65" t="s">
        <v>32</v>
      </c>
      <c r="E9" s="64" t="s">
        <v>33</v>
      </c>
      <c r="F9" s="64" t="s">
        <v>32</v>
      </c>
      <c r="G9" s="64" t="s">
        <v>33</v>
      </c>
      <c r="H9" s="64" t="s">
        <v>32</v>
      </c>
      <c r="I9" s="64" t="s">
        <v>33</v>
      </c>
      <c r="J9" s="64" t="s">
        <v>32</v>
      </c>
      <c r="K9" s="66" t="s">
        <v>33</v>
      </c>
    </row>
    <row r="10" spans="1:11" x14ac:dyDescent="0.2">
      <c r="A10" s="51" t="s">
        <v>2</v>
      </c>
      <c r="B10" s="52">
        <v>3.625597</v>
      </c>
      <c r="C10" s="53">
        <f>$C$30*B10/100</f>
        <v>43711941.017853267</v>
      </c>
      <c r="D10" s="54">
        <v>3.4624540000000001</v>
      </c>
      <c r="E10" s="55">
        <f>$E$30*D10/100</f>
        <v>16386091.220007461</v>
      </c>
      <c r="F10" s="52">
        <v>3.8693749999999998</v>
      </c>
      <c r="G10" s="53">
        <f>$G$30*F10/100</f>
        <v>693766.98113124992</v>
      </c>
      <c r="H10" s="56">
        <v>2.494907</v>
      </c>
      <c r="I10" s="53">
        <f>$I$30*H10/100</f>
        <v>1580972.8453973783</v>
      </c>
      <c r="J10" s="52">
        <f>K10/$K$30*100</f>
        <v>3.5435117012132928</v>
      </c>
      <c r="K10" s="46">
        <f t="shared" ref="K10:K29" si="0">C10+E10+G10+I10</f>
        <v>62372772.064389348</v>
      </c>
    </row>
    <row r="11" spans="1:11" x14ac:dyDescent="0.2">
      <c r="A11" s="24" t="s">
        <v>3</v>
      </c>
      <c r="B11" s="25">
        <v>2.5453079999999999</v>
      </c>
      <c r="C11" s="26">
        <f t="shared" ref="C11:C29" si="1">$C$30*B11/100</f>
        <v>30687457.31207028</v>
      </c>
      <c r="D11" s="27">
        <v>2.3197700000000001</v>
      </c>
      <c r="E11" s="28">
        <f t="shared" ref="E11:E29" si="2">$E$30*D11/100</f>
        <v>10978330.059962301</v>
      </c>
      <c r="F11" s="25">
        <v>5.831969</v>
      </c>
      <c r="G11" s="26">
        <f t="shared" ref="G11:G29" si="3">$G$30*F11/100</f>
        <v>1045654.02091579</v>
      </c>
      <c r="H11" s="49">
        <v>0.99324000000000001</v>
      </c>
      <c r="I11" s="26">
        <f t="shared" ref="I11:I29" si="4">$I$30*H11/100</f>
        <v>629396.39391868794</v>
      </c>
      <c r="J11" s="25">
        <f t="shared" ref="J11:J29" si="5">K11/$K$30*100</f>
        <v>2.4622725711085365</v>
      </c>
      <c r="K11" s="29">
        <f t="shared" si="0"/>
        <v>43340837.78686706</v>
      </c>
    </row>
    <row r="12" spans="1:11" x14ac:dyDescent="0.2">
      <c r="A12" s="24" t="s">
        <v>4</v>
      </c>
      <c r="B12" s="25">
        <v>2.4156789999999999</v>
      </c>
      <c r="C12" s="26">
        <f t="shared" si="1"/>
        <v>29124587.748187888</v>
      </c>
      <c r="D12" s="27">
        <v>2.1799710000000001</v>
      </c>
      <c r="E12" s="28">
        <f t="shared" si="2"/>
        <v>10316730.17546829</v>
      </c>
      <c r="F12" s="25">
        <v>6.1946219999999999</v>
      </c>
      <c r="G12" s="26">
        <f t="shared" si="3"/>
        <v>1110676.5832180199</v>
      </c>
      <c r="H12" s="49">
        <v>0.726329</v>
      </c>
      <c r="I12" s="26">
        <f t="shared" si="4"/>
        <v>460260.21243462479</v>
      </c>
      <c r="J12" s="25">
        <f t="shared" si="5"/>
        <v>2.3299814916192112</v>
      </c>
      <c r="K12" s="29">
        <f t="shared" si="0"/>
        <v>41012254.719308831</v>
      </c>
    </row>
    <row r="13" spans="1:11" x14ac:dyDescent="0.2">
      <c r="A13" s="24" t="s">
        <v>5</v>
      </c>
      <c r="B13" s="25">
        <v>3.9139940000000002</v>
      </c>
      <c r="C13" s="26">
        <f t="shared" si="1"/>
        <v>47188993.942854539</v>
      </c>
      <c r="D13" s="27">
        <v>3.9734180000000001</v>
      </c>
      <c r="E13" s="28">
        <f t="shared" si="2"/>
        <v>18804232.432609819</v>
      </c>
      <c r="F13" s="25">
        <v>5.0853299999999999</v>
      </c>
      <c r="G13" s="26">
        <f t="shared" si="3"/>
        <v>911783.95533030003</v>
      </c>
      <c r="H13" s="49">
        <v>12.812550999999999</v>
      </c>
      <c r="I13" s="26">
        <f t="shared" si="4"/>
        <v>8119058.2299336307</v>
      </c>
      <c r="J13" s="25">
        <f t="shared" si="5"/>
        <v>4.2622550837266804</v>
      </c>
      <c r="K13" s="29">
        <f t="shared" si="0"/>
        <v>75024068.560728282</v>
      </c>
    </row>
    <row r="14" spans="1:11" x14ac:dyDescent="0.2">
      <c r="A14" s="24" t="s">
        <v>6</v>
      </c>
      <c r="B14" s="25">
        <v>4.8136460000000003</v>
      </c>
      <c r="C14" s="26">
        <f t="shared" si="1"/>
        <v>58035631.106497861</v>
      </c>
      <c r="D14" s="27">
        <v>4.6413989999999998</v>
      </c>
      <c r="E14" s="28">
        <f t="shared" si="2"/>
        <v>21965457.852278009</v>
      </c>
      <c r="F14" s="25">
        <v>2.9414099999999999</v>
      </c>
      <c r="G14" s="26">
        <f t="shared" si="3"/>
        <v>527385.72404309991</v>
      </c>
      <c r="H14" s="49">
        <v>5.1157159999999999</v>
      </c>
      <c r="I14" s="26">
        <f t="shared" si="4"/>
        <v>3241727.2791189789</v>
      </c>
      <c r="J14" s="25">
        <f t="shared" si="5"/>
        <v>4.7591389806867976</v>
      </c>
      <c r="K14" s="29">
        <f t="shared" si="0"/>
        <v>83770201.961937964</v>
      </c>
    </row>
    <row r="15" spans="1:11" x14ac:dyDescent="0.2">
      <c r="A15" s="24" t="s">
        <v>7</v>
      </c>
      <c r="B15" s="25">
        <v>1.873005</v>
      </c>
      <c r="C15" s="26">
        <f t="shared" si="1"/>
        <v>22581849.026834551</v>
      </c>
      <c r="D15" s="27">
        <v>1.4721930000000001</v>
      </c>
      <c r="E15" s="28">
        <f t="shared" si="2"/>
        <v>6967165.1353220697</v>
      </c>
      <c r="F15" s="25">
        <v>9.8104870000000002</v>
      </c>
      <c r="G15" s="26">
        <f t="shared" si="3"/>
        <v>1758990.0046951699</v>
      </c>
      <c r="H15" s="49">
        <v>2.1117309999999998</v>
      </c>
      <c r="I15" s="26">
        <f t="shared" si="4"/>
        <v>1338161.8504352469</v>
      </c>
      <c r="J15" s="25">
        <f t="shared" si="5"/>
        <v>1.8546886318053364</v>
      </c>
      <c r="K15" s="29">
        <f t="shared" si="0"/>
        <v>32646166.017287035</v>
      </c>
    </row>
    <row r="16" spans="1:11" x14ac:dyDescent="0.2">
      <c r="A16" s="24" t="s">
        <v>8</v>
      </c>
      <c r="B16" s="25">
        <v>1.7013259999999999</v>
      </c>
      <c r="C16" s="26">
        <f t="shared" si="1"/>
        <v>20512004.440686658</v>
      </c>
      <c r="D16" s="27">
        <v>1.4361269999999999</v>
      </c>
      <c r="E16" s="28">
        <f t="shared" si="2"/>
        <v>6796482.5021547293</v>
      </c>
      <c r="F16" s="25">
        <v>9.6184949999999994</v>
      </c>
      <c r="G16" s="26">
        <f t="shared" si="3"/>
        <v>1724566.43235045</v>
      </c>
      <c r="H16" s="49">
        <v>0.72803200000000001</v>
      </c>
      <c r="I16" s="26">
        <f t="shared" si="4"/>
        <v>461339.36959587841</v>
      </c>
      <c r="J16" s="25">
        <f t="shared" si="5"/>
        <v>1.6756306053455978</v>
      </c>
      <c r="K16" s="29">
        <f t="shared" si="0"/>
        <v>29494392.744787715</v>
      </c>
    </row>
    <row r="17" spans="1:11" x14ac:dyDescent="0.2">
      <c r="A17" s="24" t="s">
        <v>9</v>
      </c>
      <c r="B17" s="25">
        <v>3.1540680000000001</v>
      </c>
      <c r="C17" s="26">
        <f t="shared" si="1"/>
        <v>38026960.630841881</v>
      </c>
      <c r="D17" s="27">
        <v>3.0132310000000002</v>
      </c>
      <c r="E17" s="28">
        <f t="shared" si="2"/>
        <v>14260139.783215692</v>
      </c>
      <c r="F17" s="25">
        <v>4.4880190000000004</v>
      </c>
      <c r="G17" s="26">
        <f t="shared" si="3"/>
        <v>804687.93872129009</v>
      </c>
      <c r="H17" s="49">
        <v>1.8486279999999999</v>
      </c>
      <c r="I17" s="26">
        <f t="shared" si="4"/>
        <v>1171438.7226623136</v>
      </c>
      <c r="J17" s="25">
        <f t="shared" si="5"/>
        <v>3.0827935607691241</v>
      </c>
      <c r="K17" s="29">
        <f t="shared" si="0"/>
        <v>54263227.075441182</v>
      </c>
    </row>
    <row r="18" spans="1:11" x14ac:dyDescent="0.2">
      <c r="A18" s="24" t="s">
        <v>10</v>
      </c>
      <c r="B18" s="25">
        <v>2.8614120000000001</v>
      </c>
      <c r="C18" s="26">
        <f t="shared" si="1"/>
        <v>34498559.153644919</v>
      </c>
      <c r="D18" s="27">
        <v>2.6341670000000001</v>
      </c>
      <c r="E18" s="28">
        <f t="shared" si="2"/>
        <v>12466216.374494331</v>
      </c>
      <c r="F18" s="25">
        <v>5.0853299999999999</v>
      </c>
      <c r="G18" s="26">
        <f t="shared" si="3"/>
        <v>911783.95533030003</v>
      </c>
      <c r="H18" s="49">
        <v>1.123974</v>
      </c>
      <c r="I18" s="26">
        <f t="shared" si="4"/>
        <v>712239.92434694886</v>
      </c>
      <c r="J18" s="25">
        <f t="shared" si="5"/>
        <v>2.7604189063741096</v>
      </c>
      <c r="K18" s="29">
        <f t="shared" si="0"/>
        <v>48588799.407816492</v>
      </c>
    </row>
    <row r="19" spans="1:11" x14ac:dyDescent="0.2">
      <c r="A19" s="24" t="s">
        <v>11</v>
      </c>
      <c r="B19" s="25">
        <v>1.830117</v>
      </c>
      <c r="C19" s="26">
        <f t="shared" si="1"/>
        <v>22064770.673566472</v>
      </c>
      <c r="D19" s="27">
        <v>1.5032650000000001</v>
      </c>
      <c r="E19" s="28">
        <f t="shared" si="2"/>
        <v>7114213.6235873513</v>
      </c>
      <c r="F19" s="25">
        <v>9.1811779999999992</v>
      </c>
      <c r="G19" s="26">
        <f t="shared" si="3"/>
        <v>1646156.84555998</v>
      </c>
      <c r="H19" s="49">
        <v>0.83491000000000004</v>
      </c>
      <c r="I19" s="26">
        <f t="shared" si="4"/>
        <v>529065.82824559195</v>
      </c>
      <c r="J19" s="25">
        <f t="shared" si="5"/>
        <v>1.7812900662674078</v>
      </c>
      <c r="K19" s="29">
        <f t="shared" si="0"/>
        <v>31354206.970959395</v>
      </c>
    </row>
    <row r="20" spans="1:11" x14ac:dyDescent="0.2">
      <c r="A20" s="24" t="s">
        <v>12</v>
      </c>
      <c r="B20" s="25">
        <v>3.043625</v>
      </c>
      <c r="C20" s="26">
        <f t="shared" si="1"/>
        <v>36695406.709698752</v>
      </c>
      <c r="D20" s="27">
        <v>3.17544</v>
      </c>
      <c r="E20" s="28">
        <f t="shared" si="2"/>
        <v>15027795.171765599</v>
      </c>
      <c r="F20" s="25">
        <v>5.0213330000000003</v>
      </c>
      <c r="G20" s="26">
        <f t="shared" si="3"/>
        <v>900309.49098103005</v>
      </c>
      <c r="H20" s="49">
        <v>2.2432669999999999</v>
      </c>
      <c r="I20" s="26">
        <f t="shared" si="4"/>
        <v>1421513.5922806102</v>
      </c>
      <c r="J20" s="25">
        <f t="shared" si="5"/>
        <v>3.0703970982269349</v>
      </c>
      <c r="K20" s="29">
        <f t="shared" si="0"/>
        <v>54045024.964725986</v>
      </c>
    </row>
    <row r="21" spans="1:11" x14ac:dyDescent="0.2">
      <c r="A21" s="24" t="s">
        <v>13</v>
      </c>
      <c r="B21" s="25">
        <v>3.9578509999999998</v>
      </c>
      <c r="C21" s="26">
        <f t="shared" si="1"/>
        <v>47717755.02612441</v>
      </c>
      <c r="D21" s="27">
        <v>3.1411410000000002</v>
      </c>
      <c r="E21" s="28">
        <f t="shared" si="2"/>
        <v>14865474.880216591</v>
      </c>
      <c r="F21" s="25">
        <v>4.2426950000000003</v>
      </c>
      <c r="G21" s="26">
        <f t="shared" si="3"/>
        <v>760702.10357245011</v>
      </c>
      <c r="H21" s="49">
        <v>1.4897309999999999</v>
      </c>
      <c r="I21" s="26">
        <f t="shared" si="4"/>
        <v>944012.84614884702</v>
      </c>
      <c r="J21" s="25">
        <f t="shared" si="5"/>
        <v>3.6523161838829519</v>
      </c>
      <c r="K21" s="29">
        <f t="shared" si="0"/>
        <v>64287944.856062301</v>
      </c>
    </row>
    <row r="22" spans="1:11" x14ac:dyDescent="0.2">
      <c r="A22" s="24" t="s">
        <v>14</v>
      </c>
      <c r="B22" s="25">
        <v>4.6196719999999996</v>
      </c>
      <c r="C22" s="26">
        <f t="shared" si="1"/>
        <v>55696987.278461516</v>
      </c>
      <c r="D22" s="27">
        <v>4.4295660000000003</v>
      </c>
      <c r="E22" s="28">
        <f t="shared" si="2"/>
        <v>20962956.487232342</v>
      </c>
      <c r="F22" s="25">
        <v>2.909411</v>
      </c>
      <c r="G22" s="26">
        <f t="shared" si="3"/>
        <v>521648.40222001</v>
      </c>
      <c r="H22" s="49">
        <v>2.6429</v>
      </c>
      <c r="I22" s="26">
        <f t="shared" si="4"/>
        <v>1674753.0601744801</v>
      </c>
      <c r="J22" s="25">
        <f t="shared" si="5"/>
        <v>4.4799737574944318</v>
      </c>
      <c r="K22" s="29">
        <f t="shared" si="0"/>
        <v>78856345.228088349</v>
      </c>
    </row>
    <row r="23" spans="1:11" x14ac:dyDescent="0.2">
      <c r="A23" s="24" t="s">
        <v>26</v>
      </c>
      <c r="B23" s="25">
        <v>2.228475</v>
      </c>
      <c r="C23" s="26">
        <f t="shared" si="1"/>
        <v>26867566.295912251</v>
      </c>
      <c r="D23" s="27">
        <v>2.312119</v>
      </c>
      <c r="E23" s="28">
        <f t="shared" si="2"/>
        <v>10942121.64133081</v>
      </c>
      <c r="F23" s="25">
        <v>6.8132659999999996</v>
      </c>
      <c r="G23" s="26">
        <f t="shared" si="3"/>
        <v>1221597.54080806</v>
      </c>
      <c r="H23" s="49">
        <v>0.494446</v>
      </c>
      <c r="I23" s="26">
        <f t="shared" si="4"/>
        <v>313320.5764845552</v>
      </c>
      <c r="J23" s="25">
        <f t="shared" si="5"/>
        <v>2.2352393090682088</v>
      </c>
      <c r="K23" s="29">
        <f t="shared" si="0"/>
        <v>39344606.054535672</v>
      </c>
    </row>
    <row r="24" spans="1:11" x14ac:dyDescent="0.2">
      <c r="A24" s="24" t="s">
        <v>15</v>
      </c>
      <c r="B24" s="25">
        <v>2.8914089999999999</v>
      </c>
      <c r="C24" s="26">
        <f t="shared" si="1"/>
        <v>34860217.41150219</v>
      </c>
      <c r="D24" s="27">
        <v>2.6439889999999999</v>
      </c>
      <c r="E24" s="28">
        <f t="shared" si="2"/>
        <v>12512699.067972109</v>
      </c>
      <c r="F24" s="25">
        <v>5.0853299999999999</v>
      </c>
      <c r="G24" s="26">
        <f t="shared" si="3"/>
        <v>911783.95533030003</v>
      </c>
      <c r="H24" s="49">
        <v>1.510966</v>
      </c>
      <c r="I24" s="26">
        <f t="shared" si="4"/>
        <v>957469.04246077919</v>
      </c>
      <c r="J24" s="25">
        <f t="shared" si="5"/>
        <v>2.7975380596470245</v>
      </c>
      <c r="K24" s="29">
        <f t="shared" si="0"/>
        <v>49242169.477265373</v>
      </c>
    </row>
    <row r="25" spans="1:11" x14ac:dyDescent="0.2">
      <c r="A25" s="24" t="s">
        <v>16</v>
      </c>
      <c r="B25" s="25">
        <v>7.9880839999999997</v>
      </c>
      <c r="C25" s="26">
        <f t="shared" si="1"/>
        <v>96308182.253476426</v>
      </c>
      <c r="D25" s="27">
        <v>9.3816799999999994</v>
      </c>
      <c r="E25" s="28">
        <f t="shared" si="2"/>
        <v>44398875.559623197</v>
      </c>
      <c r="F25" s="25">
        <v>1.4801310000000001</v>
      </c>
      <c r="G25" s="26">
        <f t="shared" si="3"/>
        <v>265382.91469521</v>
      </c>
      <c r="H25" s="49">
        <v>6.1525280000000002</v>
      </c>
      <c r="I25" s="26">
        <f t="shared" si="4"/>
        <v>3898734.3810999934</v>
      </c>
      <c r="J25" s="25">
        <f t="shared" si="5"/>
        <v>8.2303974502999289</v>
      </c>
      <c r="K25" s="29">
        <f t="shared" si="0"/>
        <v>144871175.10889482</v>
      </c>
    </row>
    <row r="26" spans="1:11" x14ac:dyDescent="0.2">
      <c r="A26" s="24" t="s">
        <v>17</v>
      </c>
      <c r="B26" s="25">
        <v>3.6381739999999998</v>
      </c>
      <c r="C26" s="26">
        <f t="shared" si="1"/>
        <v>43863575.378258333</v>
      </c>
      <c r="D26" s="27">
        <v>3.3748290000000001</v>
      </c>
      <c r="E26" s="28">
        <f t="shared" si="2"/>
        <v>15971405.207383711</v>
      </c>
      <c r="F26" s="25">
        <v>4.0187030000000004</v>
      </c>
      <c r="G26" s="26">
        <f t="shared" si="3"/>
        <v>720541.03010773007</v>
      </c>
      <c r="H26" s="49">
        <v>2.7086649999999999</v>
      </c>
      <c r="I26" s="26">
        <f t="shared" si="4"/>
        <v>1716427.0300569478</v>
      </c>
      <c r="J26" s="25">
        <f t="shared" si="5"/>
        <v>3.5377837376856327</v>
      </c>
      <c r="K26" s="29">
        <f t="shared" si="0"/>
        <v>62271948.645806715</v>
      </c>
    </row>
    <row r="27" spans="1:11" x14ac:dyDescent="0.2">
      <c r="A27" s="24" t="s">
        <v>18</v>
      </c>
      <c r="B27" s="25">
        <v>35.912894000000001</v>
      </c>
      <c r="C27" s="26">
        <f t="shared" si="1"/>
        <v>432983120.93385351</v>
      </c>
      <c r="D27" s="27">
        <v>37.952534</v>
      </c>
      <c r="E27" s="28">
        <f t="shared" si="2"/>
        <v>179610670.39574665</v>
      </c>
      <c r="F27" s="25">
        <v>6.1517000000000002E-2</v>
      </c>
      <c r="G27" s="26">
        <f t="shared" si="3"/>
        <v>11029.808012469999</v>
      </c>
      <c r="H27" s="49">
        <v>48.639572999999999</v>
      </c>
      <c r="I27" s="26">
        <f t="shared" si="4"/>
        <v>30821928.081777595</v>
      </c>
      <c r="J27" s="25">
        <f t="shared" si="5"/>
        <v>36.554254994131661</v>
      </c>
      <c r="K27" s="29">
        <f t="shared" si="0"/>
        <v>643426749.21939015</v>
      </c>
    </row>
    <row r="28" spans="1:11" x14ac:dyDescent="0.2">
      <c r="A28" s="24" t="s">
        <v>19</v>
      </c>
      <c r="B28" s="25">
        <v>3.6219049999999999</v>
      </c>
      <c r="C28" s="26">
        <f t="shared" si="1"/>
        <v>43667428.49033355</v>
      </c>
      <c r="D28" s="27">
        <v>3.8359559999999999</v>
      </c>
      <c r="E28" s="28">
        <f t="shared" si="2"/>
        <v>18153692.419288442</v>
      </c>
      <c r="F28" s="25">
        <v>3.6880489999999999</v>
      </c>
      <c r="G28" s="26">
        <f t="shared" si="3"/>
        <v>661255.78962858999</v>
      </c>
      <c r="H28" s="49">
        <v>1.979822</v>
      </c>
      <c r="I28" s="26">
        <f t="shared" si="4"/>
        <v>1254573.7459233264</v>
      </c>
      <c r="J28" s="25">
        <f t="shared" si="5"/>
        <v>3.6210131797408467</v>
      </c>
      <c r="K28" s="29">
        <f t="shared" si="0"/>
        <v>63736950.445173904</v>
      </c>
    </row>
    <row r="29" spans="1:11" ht="15" thickBot="1" x14ac:dyDescent="0.25">
      <c r="A29" s="30" t="s">
        <v>20</v>
      </c>
      <c r="B29" s="31">
        <v>3.3637589999999999</v>
      </c>
      <c r="C29" s="32">
        <f t="shared" si="1"/>
        <v>40555096.169340692</v>
      </c>
      <c r="D29" s="33">
        <v>3.1167509999999998</v>
      </c>
      <c r="E29" s="34">
        <f t="shared" si="2"/>
        <v>14750049.010340489</v>
      </c>
      <c r="F29" s="31">
        <v>4.5733499999999996</v>
      </c>
      <c r="G29" s="32">
        <f t="shared" si="3"/>
        <v>819987.52334850002</v>
      </c>
      <c r="H29" s="50">
        <v>3.3480840000000001</v>
      </c>
      <c r="I29" s="32">
        <f t="shared" si="4"/>
        <v>2121614.1075035809</v>
      </c>
      <c r="J29" s="31">
        <f t="shared" si="5"/>
        <v>3.3091046309062802</v>
      </c>
      <c r="K29" s="47">
        <f t="shared" si="0"/>
        <v>58246746.810533263</v>
      </c>
    </row>
    <row r="30" spans="1:11" ht="15" thickBot="1" x14ac:dyDescent="0.25">
      <c r="A30" s="60" t="s">
        <v>1</v>
      </c>
      <c r="B30" s="61">
        <f>SUM(B10:B29)</f>
        <v>100.00000000000001</v>
      </c>
      <c r="C30" s="62">
        <v>1205648091</v>
      </c>
      <c r="D30" s="61">
        <f t="shared" ref="D30:F30" si="6">SUM(D10:D29)</f>
        <v>99.999999999999986</v>
      </c>
      <c r="E30" s="62">
        <v>473250799</v>
      </c>
      <c r="F30" s="61">
        <f t="shared" si="6"/>
        <v>100</v>
      </c>
      <c r="G30" s="62">
        <v>17929691</v>
      </c>
      <c r="H30" s="61">
        <f t="shared" ref="H30" si="7">SUM(H10:H29)</f>
        <v>100</v>
      </c>
      <c r="I30" s="62">
        <v>63368007.119999997</v>
      </c>
      <c r="J30" s="67">
        <f>SUM(J10:J29)</f>
        <v>99.999999999999972</v>
      </c>
      <c r="K30" s="68">
        <f>SUM(K10:K29)</f>
        <v>1760196588.1199999</v>
      </c>
    </row>
    <row r="31" spans="1:11" x14ac:dyDescent="0.2">
      <c r="A31" s="38" t="s">
        <v>38</v>
      </c>
      <c r="B31" s="36"/>
      <c r="C31" s="36"/>
      <c r="D31" s="36"/>
      <c r="E31" s="36"/>
      <c r="F31" s="36"/>
      <c r="G31" s="36"/>
      <c r="H31" s="36"/>
      <c r="I31" s="36"/>
      <c r="J31" s="36"/>
      <c r="K31" s="36"/>
    </row>
    <row r="32" spans="1:11" x14ac:dyDescent="0.2">
      <c r="A32" s="36"/>
      <c r="B32" s="36"/>
      <c r="C32" s="36"/>
      <c r="D32" s="36"/>
      <c r="E32" s="36"/>
      <c r="F32" s="36"/>
      <c r="G32" s="36"/>
      <c r="H32" s="36"/>
      <c r="I32" s="36"/>
      <c r="J32" s="36"/>
      <c r="K32" s="36"/>
    </row>
    <row r="33" spans="1:11" ht="27" customHeight="1" x14ac:dyDescent="0.2">
      <c r="A33" s="332" t="s">
        <v>223</v>
      </c>
      <c r="B33" s="332"/>
      <c r="C33" s="332"/>
      <c r="D33" s="332"/>
      <c r="E33" s="332"/>
      <c r="F33" s="332"/>
      <c r="G33" s="332"/>
      <c r="H33" s="332"/>
      <c r="I33" s="332"/>
      <c r="J33" s="332"/>
      <c r="K33" s="332"/>
    </row>
    <row r="34" spans="1:11" x14ac:dyDescent="0.2">
      <c r="A34" s="36"/>
      <c r="B34" s="36"/>
      <c r="C34" s="37"/>
      <c r="D34" s="37"/>
      <c r="E34" s="36"/>
      <c r="F34" s="36"/>
      <c r="G34" s="37"/>
      <c r="H34" s="37"/>
      <c r="I34" s="37"/>
      <c r="J34" s="37"/>
      <c r="K34" s="37"/>
    </row>
    <row r="35" spans="1:11" x14ac:dyDescent="0.2">
      <c r="A35" s="38"/>
      <c r="B35" s="36"/>
      <c r="C35" s="48"/>
      <c r="D35" s="37"/>
      <c r="E35" s="48"/>
      <c r="F35" s="48"/>
      <c r="G35" s="48"/>
      <c r="H35" s="48"/>
      <c r="I35" s="37"/>
      <c r="J35" s="37"/>
      <c r="K35" s="37"/>
    </row>
    <row r="36" spans="1:11" x14ac:dyDescent="0.2">
      <c r="C36" s="7"/>
      <c r="D36" s="7"/>
      <c r="H36" s="7"/>
      <c r="I36" s="7"/>
      <c r="J36" s="7"/>
      <c r="K36" s="7"/>
    </row>
    <row r="37" spans="1:11" x14ac:dyDescent="0.2">
      <c r="C37" s="7"/>
      <c r="D37" s="7"/>
      <c r="H37" s="7"/>
      <c r="I37" s="7"/>
      <c r="J37" s="7"/>
      <c r="K37" s="7"/>
    </row>
    <row r="38" spans="1:11" x14ac:dyDescent="0.2">
      <c r="C38" s="7"/>
      <c r="D38" s="7"/>
      <c r="H38" s="7"/>
      <c r="I38" s="7"/>
      <c r="J38" s="7"/>
      <c r="K38" s="7"/>
    </row>
    <row r="39" spans="1:11" x14ac:dyDescent="0.2">
      <c r="C39" s="7"/>
      <c r="D39" s="7"/>
      <c r="H39" s="7"/>
      <c r="I39" s="7"/>
      <c r="J39" s="7"/>
      <c r="K39" s="7"/>
    </row>
    <row r="40" spans="1:11" x14ac:dyDescent="0.2">
      <c r="C40" s="7"/>
      <c r="D40" s="7"/>
      <c r="H40" s="7"/>
      <c r="I40" s="7"/>
      <c r="J40" s="7"/>
      <c r="K40" s="7"/>
    </row>
    <row r="41" spans="1:11" x14ac:dyDescent="0.2">
      <c r="C41" s="7"/>
      <c r="D41" s="7"/>
      <c r="H41" s="7"/>
      <c r="I41" s="7"/>
      <c r="J41" s="7"/>
      <c r="K41" s="7"/>
    </row>
    <row r="42" spans="1:11" x14ac:dyDescent="0.2">
      <c r="C42" s="7"/>
      <c r="D42" s="7"/>
      <c r="H42" s="7"/>
      <c r="I42" s="7"/>
      <c r="J42" s="7"/>
      <c r="K42" s="7"/>
    </row>
    <row r="43" spans="1:11" x14ac:dyDescent="0.2">
      <c r="C43" s="7"/>
      <c r="D43" s="7"/>
      <c r="H43" s="7"/>
      <c r="I43" s="7"/>
      <c r="J43" s="7"/>
      <c r="K43" s="7"/>
    </row>
    <row r="44" spans="1:11" x14ac:dyDescent="0.2">
      <c r="C44" s="7"/>
      <c r="D44" s="7"/>
      <c r="H44" s="7"/>
      <c r="I44" s="7"/>
      <c r="J44" s="7"/>
      <c r="K44" s="7"/>
    </row>
    <row r="45" spans="1:11" x14ac:dyDescent="0.2">
      <c r="C45" s="7"/>
      <c r="D45" s="7"/>
      <c r="H45" s="7"/>
      <c r="I45" s="7"/>
      <c r="J45" s="7"/>
      <c r="K45" s="7"/>
    </row>
    <row r="46" spans="1:11" x14ac:dyDescent="0.2">
      <c r="C46" s="7"/>
      <c r="D46" s="7"/>
      <c r="H46" s="7"/>
      <c r="I46" s="7"/>
      <c r="J46" s="7"/>
      <c r="K46" s="7"/>
    </row>
    <row r="47" spans="1:11" x14ac:dyDescent="0.2">
      <c r="C47" s="7"/>
      <c r="D47" s="7"/>
      <c r="H47" s="7"/>
      <c r="I47" s="7"/>
      <c r="J47" s="7"/>
      <c r="K47" s="7"/>
    </row>
    <row r="48" spans="1:11" x14ac:dyDescent="0.2">
      <c r="C48" s="7"/>
      <c r="D48" s="7"/>
      <c r="H48" s="7"/>
      <c r="I48" s="7"/>
      <c r="J48" s="7"/>
      <c r="K48" s="7"/>
    </row>
    <row r="49" spans="1:11" x14ac:dyDescent="0.2">
      <c r="C49" s="7"/>
      <c r="D49" s="7"/>
      <c r="H49" s="7"/>
      <c r="I49" s="7"/>
      <c r="J49" s="7"/>
      <c r="K49" s="7"/>
    </row>
    <row r="50" spans="1:11" x14ac:dyDescent="0.2">
      <c r="C50" s="7"/>
      <c r="D50" s="7"/>
      <c r="H50" s="7"/>
      <c r="I50" s="7"/>
      <c r="J50" s="7"/>
      <c r="K50" s="7"/>
    </row>
    <row r="51" spans="1:11" x14ac:dyDescent="0.2">
      <c r="C51" s="7"/>
      <c r="D51" s="7"/>
      <c r="H51" s="7"/>
      <c r="I51" s="7"/>
      <c r="J51" s="7"/>
      <c r="K51" s="7"/>
    </row>
    <row r="52" spans="1:11" x14ac:dyDescent="0.2">
      <c r="C52" s="7"/>
      <c r="D52" s="7"/>
      <c r="H52" s="7"/>
      <c r="I52" s="7"/>
      <c r="J52" s="7"/>
      <c r="K52" s="7"/>
    </row>
    <row r="53" spans="1:11" x14ac:dyDescent="0.2">
      <c r="A53" s="7"/>
      <c r="B53" s="7"/>
      <c r="C53" s="7"/>
      <c r="D53" s="7"/>
      <c r="H53" s="7"/>
      <c r="I53" s="7"/>
      <c r="J53" s="7"/>
      <c r="K53" s="7"/>
    </row>
    <row r="54" spans="1:11" x14ac:dyDescent="0.2">
      <c r="H54" s="7"/>
      <c r="I54" s="7"/>
      <c r="J54" s="7"/>
      <c r="K54" s="7"/>
    </row>
    <row r="56" spans="1:11" x14ac:dyDescent="0.2">
      <c r="A56" s="7"/>
      <c r="B56" s="7"/>
      <c r="C56" s="7"/>
      <c r="D56" s="7"/>
    </row>
    <row r="57" spans="1:11" x14ac:dyDescent="0.2">
      <c r="A57" s="7"/>
      <c r="B57" s="7"/>
      <c r="C57" s="7"/>
      <c r="D57" s="7"/>
    </row>
    <row r="58" spans="1:11" x14ac:dyDescent="0.2">
      <c r="A58" s="7"/>
      <c r="B58" s="7"/>
      <c r="C58" s="7"/>
      <c r="D58" s="7"/>
    </row>
    <row r="59" spans="1:11" x14ac:dyDescent="0.2">
      <c r="A59" s="7"/>
      <c r="B59" s="7"/>
      <c r="C59" s="7"/>
      <c r="D59" s="7"/>
    </row>
    <row r="60" spans="1:11" x14ac:dyDescent="0.2">
      <c r="A60" s="7"/>
      <c r="B60" s="7"/>
      <c r="C60" s="7"/>
      <c r="D60" s="7"/>
    </row>
    <row r="61" spans="1:11" x14ac:dyDescent="0.2">
      <c r="A61" s="7"/>
      <c r="B61" s="7"/>
      <c r="C61" s="7"/>
      <c r="D61" s="7"/>
    </row>
    <row r="62" spans="1:11" x14ac:dyDescent="0.2">
      <c r="A62" s="7"/>
      <c r="B62" s="7"/>
      <c r="C62" s="7"/>
      <c r="D62" s="7"/>
    </row>
    <row r="63" spans="1:11" x14ac:dyDescent="0.2">
      <c r="A63" s="7"/>
      <c r="B63" s="7"/>
      <c r="C63" s="7"/>
      <c r="D63" s="7"/>
    </row>
    <row r="64" spans="1:11" x14ac:dyDescent="0.2">
      <c r="A64" s="7"/>
      <c r="B64" s="7"/>
      <c r="C64" s="7"/>
      <c r="D64" s="7"/>
    </row>
    <row r="65" spans="1:4" x14ac:dyDescent="0.2">
      <c r="A65" s="7"/>
      <c r="B65" s="7"/>
      <c r="C65" s="7"/>
      <c r="D65" s="7"/>
    </row>
    <row r="66" spans="1:4" x14ac:dyDescent="0.2">
      <c r="A66" s="7"/>
      <c r="B66" s="7"/>
      <c r="C66" s="7"/>
      <c r="D66" s="7"/>
    </row>
    <row r="67" spans="1:4" x14ac:dyDescent="0.2">
      <c r="A67" s="7"/>
      <c r="B67" s="7"/>
      <c r="C67" s="7"/>
      <c r="D67" s="7"/>
    </row>
    <row r="68" spans="1:4" x14ac:dyDescent="0.2">
      <c r="A68" s="7"/>
      <c r="B68" s="7"/>
      <c r="C68" s="7"/>
      <c r="D68" s="7"/>
    </row>
    <row r="69" spans="1:4" x14ac:dyDescent="0.2">
      <c r="A69" s="7"/>
      <c r="B69" s="7"/>
      <c r="C69" s="7"/>
      <c r="D69" s="7"/>
    </row>
    <row r="70" spans="1:4" x14ac:dyDescent="0.2">
      <c r="A70" s="7"/>
      <c r="B70" s="7"/>
      <c r="C70" s="7"/>
      <c r="D70" s="7"/>
    </row>
    <row r="71" spans="1:4" x14ac:dyDescent="0.2">
      <c r="A71" s="7"/>
      <c r="B71" s="7"/>
      <c r="C71" s="7"/>
      <c r="D71" s="7"/>
    </row>
    <row r="72" spans="1:4" x14ac:dyDescent="0.2">
      <c r="A72" s="7"/>
      <c r="B72" s="7"/>
      <c r="C72" s="7"/>
      <c r="D72" s="7"/>
    </row>
    <row r="73" spans="1:4" x14ac:dyDescent="0.2">
      <c r="A73" s="7"/>
      <c r="B73" s="7"/>
      <c r="C73" s="7"/>
      <c r="D73" s="7"/>
    </row>
    <row r="74" spans="1:4" x14ac:dyDescent="0.2">
      <c r="A74" s="7"/>
      <c r="B74" s="7"/>
      <c r="C74" s="7"/>
      <c r="D74" s="7"/>
    </row>
    <row r="75" spans="1:4" x14ac:dyDescent="0.2">
      <c r="A75" s="7"/>
      <c r="B75" s="7"/>
      <c r="C75" s="7"/>
      <c r="D75" s="7"/>
    </row>
    <row r="76" spans="1:4" x14ac:dyDescent="0.2">
      <c r="A76" s="7"/>
      <c r="B76" s="7"/>
      <c r="C76" s="7"/>
      <c r="D76" s="7"/>
    </row>
    <row r="78" spans="1:4" x14ac:dyDescent="0.2">
      <c r="A78" s="7"/>
      <c r="B78" s="7"/>
      <c r="C78" s="7"/>
      <c r="D78" s="7"/>
    </row>
    <row r="79" spans="1:4" x14ac:dyDescent="0.2">
      <c r="A79" s="7"/>
      <c r="B79" s="7"/>
      <c r="C79" s="7"/>
      <c r="D79" s="7"/>
    </row>
    <row r="80" spans="1:4" x14ac:dyDescent="0.2">
      <c r="A80" s="7"/>
      <c r="B80" s="7"/>
      <c r="C80" s="7"/>
      <c r="D80" s="7"/>
    </row>
    <row r="81" spans="1:4" x14ac:dyDescent="0.2">
      <c r="A81" s="7"/>
      <c r="B81" s="7"/>
      <c r="C81" s="7"/>
      <c r="D81" s="7"/>
    </row>
    <row r="82" spans="1:4" x14ac:dyDescent="0.2">
      <c r="A82" s="7"/>
      <c r="B82" s="7"/>
      <c r="C82" s="7"/>
      <c r="D82" s="7"/>
    </row>
    <row r="83" spans="1:4" x14ac:dyDescent="0.2">
      <c r="A83" s="7"/>
      <c r="B83" s="7"/>
      <c r="C83" s="7"/>
      <c r="D83" s="7"/>
    </row>
    <row r="84" spans="1:4" x14ac:dyDescent="0.2">
      <c r="A84" s="7"/>
      <c r="B84" s="7"/>
      <c r="C84" s="7"/>
      <c r="D84" s="7"/>
    </row>
    <row r="85" spans="1:4" x14ac:dyDescent="0.2">
      <c r="A85" s="7"/>
      <c r="B85" s="7"/>
      <c r="C85" s="7"/>
      <c r="D85" s="7"/>
    </row>
    <row r="86" spans="1:4" x14ac:dyDescent="0.2">
      <c r="A86" s="7"/>
      <c r="B86" s="7"/>
      <c r="C86" s="7"/>
      <c r="D86" s="7"/>
    </row>
    <row r="87" spans="1:4" x14ac:dyDescent="0.2">
      <c r="A87" s="7"/>
      <c r="B87" s="7"/>
      <c r="C87" s="7"/>
      <c r="D87" s="7"/>
    </row>
    <row r="88" spans="1:4" x14ac:dyDescent="0.2">
      <c r="A88" s="7"/>
      <c r="B88" s="7"/>
      <c r="C88" s="7"/>
      <c r="D88" s="7"/>
    </row>
    <row r="89" spans="1:4" x14ac:dyDescent="0.2">
      <c r="A89" s="7"/>
      <c r="B89" s="7"/>
      <c r="C89" s="7"/>
      <c r="D89" s="7"/>
    </row>
    <row r="90" spans="1:4" x14ac:dyDescent="0.2">
      <c r="A90" s="7"/>
      <c r="B90" s="7"/>
      <c r="C90" s="7"/>
      <c r="D90" s="7"/>
    </row>
    <row r="91" spans="1:4" x14ac:dyDescent="0.2">
      <c r="A91" s="7"/>
      <c r="B91" s="7"/>
      <c r="C91" s="7"/>
      <c r="D91" s="7"/>
    </row>
    <row r="92" spans="1:4" x14ac:dyDescent="0.2">
      <c r="A92" s="7"/>
      <c r="B92" s="7"/>
      <c r="C92" s="7"/>
      <c r="D92" s="7"/>
    </row>
    <row r="93" spans="1:4" x14ac:dyDescent="0.2">
      <c r="A93" s="7"/>
      <c r="B93" s="7"/>
      <c r="C93" s="7"/>
      <c r="D93" s="7"/>
    </row>
    <row r="94" spans="1:4" x14ac:dyDescent="0.2">
      <c r="A94" s="7"/>
      <c r="B94" s="7"/>
      <c r="C94" s="7"/>
      <c r="D94" s="7"/>
    </row>
    <row r="95" spans="1:4" x14ac:dyDescent="0.2">
      <c r="A95" s="7"/>
      <c r="B95" s="7"/>
      <c r="C95" s="7"/>
      <c r="D95" s="7"/>
    </row>
    <row r="96" spans="1:4" x14ac:dyDescent="0.2">
      <c r="A96" s="7"/>
      <c r="B96" s="7"/>
      <c r="C96" s="7"/>
      <c r="D96" s="7"/>
    </row>
    <row r="97" spans="1:4" x14ac:dyDescent="0.2">
      <c r="A97" s="7"/>
      <c r="B97" s="7"/>
      <c r="C97" s="7"/>
      <c r="D97" s="7"/>
    </row>
    <row r="98" spans="1:4" x14ac:dyDescent="0.2">
      <c r="A98" s="7"/>
      <c r="B98" s="7"/>
      <c r="C98" s="7"/>
      <c r="D98" s="7"/>
    </row>
  </sheetData>
  <sortState ref="A10:K29">
    <sortCondition ref="A10"/>
  </sortState>
  <mergeCells count="11">
    <mergeCell ref="A33:K33"/>
    <mergeCell ref="J8:K8"/>
    <mergeCell ref="A1:K1"/>
    <mergeCell ref="A2:K2"/>
    <mergeCell ref="A3:K3"/>
    <mergeCell ref="A8:A9"/>
    <mergeCell ref="B8:C8"/>
    <mergeCell ref="D8:E8"/>
    <mergeCell ref="F8:G8"/>
    <mergeCell ref="A5:K6"/>
    <mergeCell ref="H8:I8"/>
  </mergeCells>
  <pageMargins left="0.14000000000000001" right="0.91" top="0.36" bottom="0.38" header="0.31496062992125984" footer="0.31496062992125984"/>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7"/>
  <sheetViews>
    <sheetView workbookViewId="0">
      <selection activeCell="A33" sqref="A33"/>
    </sheetView>
  </sheetViews>
  <sheetFormatPr baseColWidth="10" defaultRowHeight="14.25" x14ac:dyDescent="0.2"/>
  <cols>
    <col min="1" max="1" width="33.5546875" style="1" customWidth="1"/>
    <col min="2" max="4" width="20.77734375" style="1" customWidth="1"/>
    <col min="5" max="16384" width="11.5546875" style="1"/>
  </cols>
  <sheetData>
    <row r="1" spans="1:6" ht="16.5" x14ac:dyDescent="0.25">
      <c r="A1" s="337" t="s">
        <v>27</v>
      </c>
      <c r="B1" s="337"/>
      <c r="C1" s="337"/>
      <c r="D1" s="337"/>
    </row>
    <row r="2" spans="1:6" ht="15" x14ac:dyDescent="0.2">
      <c r="A2" s="338" t="s">
        <v>28</v>
      </c>
      <c r="B2" s="338"/>
      <c r="C2" s="338"/>
      <c r="D2" s="338"/>
    </row>
    <row r="3" spans="1:6" x14ac:dyDescent="0.2">
      <c r="A3" s="339" t="s">
        <v>29</v>
      </c>
      <c r="B3" s="339"/>
      <c r="C3" s="339"/>
      <c r="D3" s="339"/>
    </row>
    <row r="5" spans="1:6" ht="21" customHeight="1" x14ac:dyDescent="0.2">
      <c r="A5" s="331" t="s">
        <v>41</v>
      </c>
      <c r="B5" s="331"/>
      <c r="C5" s="331"/>
      <c r="D5" s="331"/>
    </row>
    <row r="6" spans="1:6" ht="15.75" thickBot="1" x14ac:dyDescent="0.3">
      <c r="D6" s="5" t="s">
        <v>30</v>
      </c>
    </row>
    <row r="7" spans="1:6" ht="24.95" customHeight="1" x14ac:dyDescent="0.2">
      <c r="A7" s="344" t="s">
        <v>0</v>
      </c>
      <c r="B7" s="340" t="s">
        <v>36</v>
      </c>
      <c r="C7" s="340" t="s">
        <v>21</v>
      </c>
      <c r="D7" s="342" t="s">
        <v>22</v>
      </c>
      <c r="F7" s="6"/>
    </row>
    <row r="8" spans="1:6" ht="30" customHeight="1" thickBot="1" x14ac:dyDescent="0.25">
      <c r="A8" s="345"/>
      <c r="B8" s="341"/>
      <c r="C8" s="341"/>
      <c r="D8" s="343"/>
    </row>
    <row r="9" spans="1:6" x14ac:dyDescent="0.2">
      <c r="A9" s="2" t="s">
        <v>2</v>
      </c>
      <c r="B9" s="12">
        <f>PROVISIONALES!K9</f>
        <v>62495760.58826226</v>
      </c>
      <c r="C9" s="12">
        <f>DEFINITIVAS!K10</f>
        <v>62372772.064389348</v>
      </c>
      <c r="D9" s="15">
        <f t="shared" ref="D9:D28" si="0">C9-B9</f>
        <v>-122988.52387291193</v>
      </c>
      <c r="F9" s="11"/>
    </row>
    <row r="10" spans="1:6" x14ac:dyDescent="0.2">
      <c r="A10" s="3" t="s">
        <v>3</v>
      </c>
      <c r="B10" s="13">
        <f>PROVISIONALES!K10</f>
        <v>43429606.873674877</v>
      </c>
      <c r="C10" s="13">
        <f>DEFINITIVAS!K11</f>
        <v>43340837.78686706</v>
      </c>
      <c r="D10" s="16">
        <f t="shared" si="0"/>
        <v>-88769.086807817221</v>
      </c>
      <c r="F10" s="11"/>
    </row>
    <row r="11" spans="1:6" x14ac:dyDescent="0.2">
      <c r="A11" s="3" t="s">
        <v>4</v>
      </c>
      <c r="B11" s="13">
        <f>PROVISIONALES!K11</f>
        <v>41097070.912810817</v>
      </c>
      <c r="C11" s="13">
        <f>DEFINITIVAS!K12</f>
        <v>41012254.719308831</v>
      </c>
      <c r="D11" s="16">
        <f t="shared" si="0"/>
        <v>-84816.193501986563</v>
      </c>
      <c r="F11" s="11"/>
    </row>
    <row r="12" spans="1:6" x14ac:dyDescent="0.2">
      <c r="A12" s="3" t="s">
        <v>5</v>
      </c>
      <c r="B12" s="13">
        <f>PROVISIONALES!K12</f>
        <v>75410217.481850863</v>
      </c>
      <c r="C12" s="13">
        <f>DEFINITIVAS!K13</f>
        <v>75024068.560728282</v>
      </c>
      <c r="D12" s="16">
        <f t="shared" si="0"/>
        <v>-386148.92112258077</v>
      </c>
      <c r="F12" s="11"/>
    </row>
    <row r="13" spans="1:6" x14ac:dyDescent="0.2">
      <c r="A13" s="3" t="s">
        <v>6</v>
      </c>
      <c r="B13" s="13">
        <f>PROVISIONALES!K13</f>
        <v>83977005.242642105</v>
      </c>
      <c r="C13" s="13">
        <f>DEFINITIVAS!K14</f>
        <v>83770201.961937964</v>
      </c>
      <c r="D13" s="16">
        <f t="shared" si="0"/>
        <v>-206803.28070414066</v>
      </c>
      <c r="F13" s="11"/>
    </row>
    <row r="14" spans="1:6" x14ac:dyDescent="0.2">
      <c r="A14" s="3" t="s">
        <v>7</v>
      </c>
      <c r="B14" s="13">
        <f>PROVISIONALES!K14</f>
        <v>32757330.141589761</v>
      </c>
      <c r="C14" s="13">
        <f>DEFINITIVAS!K15</f>
        <v>32646166.017287035</v>
      </c>
      <c r="D14" s="16">
        <f t="shared" si="0"/>
        <v>-111164.12430272624</v>
      </c>
      <c r="F14" s="11"/>
    </row>
    <row r="15" spans="1:6" x14ac:dyDescent="0.2">
      <c r="A15" s="3" t="s">
        <v>8</v>
      </c>
      <c r="B15" s="13">
        <f>PROVISIONALES!K15</f>
        <v>29566249.856609702</v>
      </c>
      <c r="C15" s="13">
        <f>DEFINITIVAS!K16</f>
        <v>29494392.744787715</v>
      </c>
      <c r="D15" s="16">
        <f t="shared" si="0"/>
        <v>-71857.111821986735</v>
      </c>
      <c r="F15" s="11"/>
    </row>
    <row r="16" spans="1:6" x14ac:dyDescent="0.2">
      <c r="A16" s="3" t="s">
        <v>9</v>
      </c>
      <c r="B16" s="13">
        <f>PROVISIONALES!K16</f>
        <v>54366837.615491398</v>
      </c>
      <c r="C16" s="13">
        <f>DEFINITIVAS!K17</f>
        <v>54263227.075441182</v>
      </c>
      <c r="D16" s="16">
        <f t="shared" si="0"/>
        <v>-103610.54005021602</v>
      </c>
      <c r="F16" s="11"/>
    </row>
    <row r="17" spans="1:6" x14ac:dyDescent="0.2">
      <c r="A17" s="3" t="s">
        <v>10</v>
      </c>
      <c r="B17" s="13">
        <f>PROVISIONALES!K17</f>
        <v>48684724.834122755</v>
      </c>
      <c r="C17" s="13">
        <f>DEFINITIVAS!K18</f>
        <v>48588799.407816492</v>
      </c>
      <c r="D17" s="16">
        <f t="shared" si="0"/>
        <v>-95925.426306262612</v>
      </c>
      <c r="F17" s="11"/>
    </row>
    <row r="18" spans="1:6" x14ac:dyDescent="0.2">
      <c r="A18" s="3" t="s">
        <v>11</v>
      </c>
      <c r="B18" s="13">
        <f>PROVISIONALES!K18</f>
        <v>31438924.965914417</v>
      </c>
      <c r="C18" s="13">
        <f>DEFINITIVAS!K19</f>
        <v>31354206.970959395</v>
      </c>
      <c r="D18" s="16">
        <f t="shared" si="0"/>
        <v>-84717.994955021888</v>
      </c>
      <c r="F18" s="11"/>
    </row>
    <row r="19" spans="1:6" x14ac:dyDescent="0.2">
      <c r="A19" s="3" t="s">
        <v>12</v>
      </c>
      <c r="B19" s="13">
        <f>PROVISIONALES!K19</f>
        <v>54171478.482402816</v>
      </c>
      <c r="C19" s="13">
        <f>DEFINITIVAS!K20</f>
        <v>54045024.964725986</v>
      </c>
      <c r="D19" s="16">
        <f t="shared" si="0"/>
        <v>-126453.51767683029</v>
      </c>
      <c r="F19" s="11"/>
    </row>
    <row r="20" spans="1:6" x14ac:dyDescent="0.2">
      <c r="A20" s="3" t="s">
        <v>13</v>
      </c>
      <c r="B20" s="13">
        <f>PROVISIONALES!K20</f>
        <v>64498846.819009364</v>
      </c>
      <c r="C20" s="13">
        <f>DEFINITIVAS!K21</f>
        <v>64287944.856062301</v>
      </c>
      <c r="D20" s="16">
        <f t="shared" si="0"/>
        <v>-210901.96294706315</v>
      </c>
      <c r="F20" s="11"/>
    </row>
    <row r="21" spans="1:6" x14ac:dyDescent="0.2">
      <c r="A21" s="3" t="s">
        <v>14</v>
      </c>
      <c r="B21" s="13">
        <f>PROVISIONALES!K21</f>
        <v>78999494.206513077</v>
      </c>
      <c r="C21" s="13">
        <f>DEFINITIVAS!K22</f>
        <v>78856345.228088349</v>
      </c>
      <c r="D21" s="16">
        <f t="shared" si="0"/>
        <v>-143148.97842472792</v>
      </c>
      <c r="F21" s="11"/>
    </row>
    <row r="22" spans="1:6" x14ac:dyDescent="0.2">
      <c r="A22" s="3" t="s">
        <v>26</v>
      </c>
      <c r="B22" s="13">
        <f>PROVISIONALES!K22</f>
        <v>39422797.668177903</v>
      </c>
      <c r="C22" s="13">
        <f>DEFINITIVAS!K23</f>
        <v>39344606.054535672</v>
      </c>
      <c r="D22" s="16">
        <f t="shared" si="0"/>
        <v>-78191.61364223063</v>
      </c>
      <c r="F22" s="11"/>
    </row>
    <row r="23" spans="1:6" x14ac:dyDescent="0.2">
      <c r="A23" s="3" t="s">
        <v>15</v>
      </c>
      <c r="B23" s="13">
        <f>PROVISIONALES!K23</f>
        <v>49344099.185396202</v>
      </c>
      <c r="C23" s="13">
        <f>DEFINITIVAS!K24</f>
        <v>49242169.477265373</v>
      </c>
      <c r="D23" s="16">
        <f t="shared" si="0"/>
        <v>-101929.70813082904</v>
      </c>
      <c r="F23" s="11"/>
    </row>
    <row r="24" spans="1:6" x14ac:dyDescent="0.2">
      <c r="A24" s="3" t="s">
        <v>16</v>
      </c>
      <c r="B24" s="13">
        <f>PROVISIONALES!K24</f>
        <v>145101288.19561556</v>
      </c>
      <c r="C24" s="13">
        <f>DEFINITIVAS!K25</f>
        <v>144871175.10889482</v>
      </c>
      <c r="D24" s="16">
        <f t="shared" si="0"/>
        <v>-230113.08672073483</v>
      </c>
      <c r="F24" s="11"/>
    </row>
    <row r="25" spans="1:6" x14ac:dyDescent="0.2">
      <c r="A25" s="3" t="s">
        <v>17</v>
      </c>
      <c r="B25" s="13">
        <f>PROVISIONALES!K25</f>
        <v>62415306.532027215</v>
      </c>
      <c r="C25" s="13">
        <f>DEFINITIVAS!K26</f>
        <v>62271948.645806715</v>
      </c>
      <c r="D25" s="16">
        <f t="shared" si="0"/>
        <v>-143357.88622049987</v>
      </c>
      <c r="F25" s="11"/>
    </row>
    <row r="26" spans="1:6" x14ac:dyDescent="0.2">
      <c r="A26" s="3" t="s">
        <v>18</v>
      </c>
      <c r="B26" s="13">
        <f>PROVISIONALES!K26</f>
        <v>644282815.50660014</v>
      </c>
      <c r="C26" s="13">
        <f>DEFINITIVAS!K27</f>
        <v>643426749.21939015</v>
      </c>
      <c r="D26" s="16">
        <f t="shared" si="0"/>
        <v>-856066.28720998764</v>
      </c>
      <c r="F26" s="11"/>
    </row>
    <row r="27" spans="1:6" x14ac:dyDescent="0.2">
      <c r="A27" s="3" t="s">
        <v>19</v>
      </c>
      <c r="B27" s="13">
        <f>PROVISIONALES!K27</f>
        <v>63830201.505316414</v>
      </c>
      <c r="C27" s="13">
        <f>DEFINITIVAS!K28</f>
        <v>63736950.445173904</v>
      </c>
      <c r="D27" s="16">
        <f t="shared" si="0"/>
        <v>-93251.060142509639</v>
      </c>
      <c r="F27" s="11"/>
    </row>
    <row r="28" spans="1:6" ht="15" thickBot="1" x14ac:dyDescent="0.25">
      <c r="A28" s="4" t="s">
        <v>20</v>
      </c>
      <c r="B28" s="14">
        <f>PROVISIONALES!K28</f>
        <v>58408891.385972336</v>
      </c>
      <c r="C28" s="14">
        <f>DEFINITIVAS!K29</f>
        <v>58246746.810533263</v>
      </c>
      <c r="D28" s="17">
        <f t="shared" si="0"/>
        <v>-162144.57543907315</v>
      </c>
      <c r="F28" s="11"/>
    </row>
    <row r="29" spans="1:6" ht="15.75" thickBot="1" x14ac:dyDescent="0.3">
      <c r="A29" s="69" t="s">
        <v>1</v>
      </c>
      <c r="B29" s="70">
        <f>SUM(B9:B28)</f>
        <v>1763698948</v>
      </c>
      <c r="C29" s="70">
        <f t="shared" ref="C29:D29" si="1">SUM(C9:C28)</f>
        <v>1760196588.1199999</v>
      </c>
      <c r="D29" s="71">
        <f t="shared" si="1"/>
        <v>-3502359.8800001368</v>
      </c>
      <c r="F29" s="11"/>
    </row>
    <row r="30" spans="1:6" ht="14.25" customHeight="1" x14ac:dyDescent="0.2">
      <c r="A30" s="38" t="s">
        <v>38</v>
      </c>
      <c r="C30" s="8"/>
    </row>
    <row r="31" spans="1:6" ht="14.25" customHeight="1" x14ac:dyDescent="0.2">
      <c r="C31" s="8"/>
    </row>
    <row r="32" spans="1:6" ht="67.5" customHeight="1" x14ac:dyDescent="0.2">
      <c r="A32" s="336" t="s">
        <v>220</v>
      </c>
      <c r="B32" s="336"/>
      <c r="C32" s="336"/>
      <c r="D32" s="336"/>
    </row>
    <row r="33" spans="1:3" x14ac:dyDescent="0.2">
      <c r="A33" s="9"/>
      <c r="B33" s="10"/>
      <c r="C33" s="7"/>
    </row>
    <row r="34" spans="1:3" x14ac:dyDescent="0.2">
      <c r="A34" s="9"/>
      <c r="B34" s="10"/>
      <c r="C34" s="7"/>
    </row>
    <row r="35" spans="1:3" x14ac:dyDescent="0.2">
      <c r="B35" s="7"/>
      <c r="C35" s="7"/>
    </row>
    <row r="36" spans="1:3" x14ac:dyDescent="0.2">
      <c r="B36" s="7"/>
      <c r="C36" s="7"/>
    </row>
    <row r="37" spans="1:3" x14ac:dyDescent="0.2">
      <c r="B37" s="7"/>
    </row>
  </sheetData>
  <sortState ref="A10:D28">
    <sortCondition ref="A9"/>
  </sortState>
  <mergeCells count="9">
    <mergeCell ref="A32:D32"/>
    <mergeCell ref="A1:D1"/>
    <mergeCell ref="A2:D2"/>
    <mergeCell ref="A3:D3"/>
    <mergeCell ref="A5:D5"/>
    <mergeCell ref="B7:B8"/>
    <mergeCell ref="C7:C8"/>
    <mergeCell ref="D7:D8"/>
    <mergeCell ref="A7:A8"/>
  </mergeCells>
  <pageMargins left="0.57999999999999996" right="0.70866141732283472" top="0.43" bottom="0.41" header="0.31496062992125984" footer="0.31496062992125984"/>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W35"/>
  <sheetViews>
    <sheetView topLeftCell="F1" zoomScaleNormal="100" workbookViewId="0">
      <selection activeCell="U13" sqref="U13"/>
    </sheetView>
  </sheetViews>
  <sheetFormatPr baseColWidth="10" defaultRowHeight="15" x14ac:dyDescent="0.25"/>
  <cols>
    <col min="1" max="1" width="2.77734375" style="75" customWidth="1"/>
    <col min="2" max="2" width="15.88671875" style="75" customWidth="1"/>
    <col min="3" max="3" width="11.33203125" style="75" bestFit="1" customWidth="1"/>
    <col min="4" max="4" width="11.77734375" style="75" customWidth="1"/>
    <col min="5" max="5" width="10.44140625" style="75" bestFit="1" customWidth="1"/>
    <col min="6" max="6" width="13.5546875" style="74" customWidth="1"/>
    <col min="7" max="7" width="12.88671875" style="74" customWidth="1"/>
    <col min="8" max="8" width="13" style="74" customWidth="1"/>
    <col min="9" max="9" width="11.88671875" style="75" customWidth="1"/>
    <col min="10" max="10" width="12.77734375" style="75" customWidth="1"/>
    <col min="11" max="11" width="11.6640625" style="75" customWidth="1"/>
    <col min="12" max="12" width="13.21875" style="75" customWidth="1"/>
    <col min="13" max="13" width="13.77734375" style="75" customWidth="1"/>
    <col min="14" max="14" width="11.21875" style="75" customWidth="1"/>
    <col min="15" max="15" width="9.44140625" style="75" customWidth="1"/>
    <col min="16" max="17" width="11.21875" style="75" customWidth="1"/>
    <col min="18" max="18" width="13.21875" style="75" customWidth="1"/>
    <col min="19" max="19" width="11.6640625" style="75" customWidth="1"/>
    <col min="20" max="20" width="0.21875" style="75" customWidth="1"/>
    <col min="21" max="21" width="13.88671875" style="75" bestFit="1" customWidth="1"/>
    <col min="22" max="22" width="9.44140625" style="75" bestFit="1" customWidth="1"/>
    <col min="23" max="16384" width="11.5546875" style="75"/>
  </cols>
  <sheetData>
    <row r="1" spans="2:23" x14ac:dyDescent="0.25">
      <c r="B1" s="73"/>
      <c r="C1" s="73"/>
      <c r="D1" s="73"/>
      <c r="E1" s="73"/>
      <c r="S1" s="76"/>
    </row>
    <row r="2" spans="2:23" ht="15.75" x14ac:dyDescent="0.25">
      <c r="B2" s="356" t="s">
        <v>43</v>
      </c>
      <c r="C2" s="356"/>
      <c r="D2" s="356"/>
      <c r="E2" s="356"/>
      <c r="F2" s="356"/>
      <c r="G2" s="356"/>
      <c r="H2" s="356"/>
      <c r="I2" s="356"/>
      <c r="J2" s="356"/>
      <c r="K2" s="356"/>
      <c r="L2" s="356"/>
      <c r="M2" s="356"/>
      <c r="N2" s="356"/>
      <c r="O2" s="356"/>
      <c r="P2" s="356"/>
      <c r="Q2" s="356"/>
      <c r="R2" s="356"/>
      <c r="S2" s="356"/>
    </row>
    <row r="3" spans="2:23" ht="15.75" thickBot="1" x14ac:dyDescent="0.3">
      <c r="B3" s="76"/>
      <c r="C3" s="76"/>
      <c r="D3" s="76"/>
      <c r="E3" s="76"/>
      <c r="F3" s="76"/>
      <c r="G3" s="76"/>
      <c r="H3" s="76"/>
      <c r="I3" s="74"/>
    </row>
    <row r="4" spans="2:23" ht="33.75" customHeight="1" thickBot="1" x14ac:dyDescent="0.3">
      <c r="B4" s="357" t="s">
        <v>0</v>
      </c>
      <c r="C4" s="359" t="s">
        <v>44</v>
      </c>
      <c r="D4" s="360"/>
      <c r="E4" s="360"/>
      <c r="F4" s="361"/>
      <c r="G4" s="359" t="s">
        <v>45</v>
      </c>
      <c r="H4" s="360"/>
      <c r="I4" s="360"/>
      <c r="J4" s="360"/>
      <c r="K4" s="360"/>
      <c r="L4" s="361"/>
      <c r="M4" s="362" t="s">
        <v>46</v>
      </c>
      <c r="N4" s="363"/>
      <c r="O4" s="363"/>
      <c r="P4" s="363"/>
      <c r="Q4" s="363"/>
      <c r="R4" s="364"/>
      <c r="S4" s="77" t="s">
        <v>47</v>
      </c>
      <c r="T4" s="346" t="s">
        <v>48</v>
      </c>
    </row>
    <row r="5" spans="2:23" ht="15" customHeight="1" x14ac:dyDescent="0.25">
      <c r="B5" s="358"/>
      <c r="C5" s="78" t="s">
        <v>49</v>
      </c>
      <c r="D5" s="347" t="s">
        <v>234</v>
      </c>
      <c r="E5" s="79" t="s">
        <v>50</v>
      </c>
      <c r="F5" s="347" t="s">
        <v>233</v>
      </c>
      <c r="G5" s="350" t="s">
        <v>235</v>
      </c>
      <c r="H5" s="351"/>
      <c r="I5" s="354" t="s">
        <v>236</v>
      </c>
      <c r="J5" s="366" t="s">
        <v>51</v>
      </c>
      <c r="K5" s="79" t="s">
        <v>52</v>
      </c>
      <c r="L5" s="347" t="s">
        <v>238</v>
      </c>
      <c r="M5" s="347" t="s">
        <v>53</v>
      </c>
      <c r="N5" s="354" t="s">
        <v>239</v>
      </c>
      <c r="O5" s="354" t="s">
        <v>54</v>
      </c>
      <c r="P5" s="354" t="s">
        <v>240</v>
      </c>
      <c r="Q5" s="369" t="s">
        <v>241</v>
      </c>
      <c r="R5" s="347" t="s">
        <v>242</v>
      </c>
      <c r="S5" s="371" t="s">
        <v>55</v>
      </c>
      <c r="T5" s="346"/>
    </row>
    <row r="6" spans="2:23" ht="19.5" customHeight="1" thickBot="1" x14ac:dyDescent="0.3">
      <c r="B6" s="358"/>
      <c r="C6" s="80" t="s">
        <v>56</v>
      </c>
      <c r="D6" s="348"/>
      <c r="E6" s="81" t="s">
        <v>232</v>
      </c>
      <c r="F6" s="349"/>
      <c r="G6" s="352"/>
      <c r="H6" s="353"/>
      <c r="I6" s="355"/>
      <c r="J6" s="367"/>
      <c r="K6" s="81" t="s">
        <v>237</v>
      </c>
      <c r="L6" s="349"/>
      <c r="M6" s="349"/>
      <c r="N6" s="355"/>
      <c r="O6" s="355"/>
      <c r="P6" s="348"/>
      <c r="Q6" s="370"/>
      <c r="R6" s="349"/>
      <c r="S6" s="371"/>
      <c r="T6" s="346"/>
    </row>
    <row r="7" spans="2:23" x14ac:dyDescent="0.25">
      <c r="B7" s="358"/>
      <c r="C7" s="80" t="s">
        <v>57</v>
      </c>
      <c r="D7" s="81" t="s">
        <v>58</v>
      </c>
      <c r="E7" s="82">
        <v>0.6</v>
      </c>
      <c r="F7" s="349"/>
      <c r="G7" s="83">
        <v>2014</v>
      </c>
      <c r="H7" s="84">
        <v>2015</v>
      </c>
      <c r="I7" s="355"/>
      <c r="J7" s="367"/>
      <c r="K7" s="82">
        <v>0.3</v>
      </c>
      <c r="L7" s="349"/>
      <c r="M7" s="349"/>
      <c r="N7" s="355"/>
      <c r="O7" s="355"/>
      <c r="P7" s="348"/>
      <c r="Q7" s="370"/>
      <c r="R7" s="349"/>
      <c r="S7" s="371"/>
      <c r="T7" s="346"/>
    </row>
    <row r="8" spans="2:23" ht="15.75" thickBot="1" x14ac:dyDescent="0.3">
      <c r="B8" s="358"/>
      <c r="C8" s="85" t="s">
        <v>59</v>
      </c>
      <c r="D8" s="86" t="s">
        <v>60</v>
      </c>
      <c r="E8" s="86" t="s">
        <v>61</v>
      </c>
      <c r="F8" s="86" t="s">
        <v>62</v>
      </c>
      <c r="G8" s="86" t="s">
        <v>63</v>
      </c>
      <c r="H8" s="86" t="s">
        <v>64</v>
      </c>
      <c r="I8" s="86" t="s">
        <v>65</v>
      </c>
      <c r="J8" s="86" t="s">
        <v>66</v>
      </c>
      <c r="K8" s="86" t="s">
        <v>67</v>
      </c>
      <c r="L8" s="87" t="s">
        <v>68</v>
      </c>
      <c r="M8" s="87" t="s">
        <v>69</v>
      </c>
      <c r="N8" s="87" t="s">
        <v>70</v>
      </c>
      <c r="O8" s="87" t="s">
        <v>71</v>
      </c>
      <c r="P8" s="368"/>
      <c r="Q8" s="88" t="s">
        <v>72</v>
      </c>
      <c r="R8" s="87" t="s">
        <v>73</v>
      </c>
      <c r="S8" s="89" t="s">
        <v>74</v>
      </c>
      <c r="T8" s="346"/>
    </row>
    <row r="9" spans="2:23" s="104" customFormat="1" ht="16.5" customHeight="1" x14ac:dyDescent="0.25">
      <c r="B9" s="90" t="s">
        <v>75</v>
      </c>
      <c r="C9" s="91">
        <f>'CENSO (2)'!C10</f>
        <v>36572</v>
      </c>
      <c r="D9" s="92">
        <f>C9/$C$29*100</f>
        <v>3.3707564846877225</v>
      </c>
      <c r="E9" s="93">
        <f>D9*0.6</f>
        <v>2.0224538908126335</v>
      </c>
      <c r="F9" s="94">
        <f>Datos!$L$18*FGP!E9/100</f>
        <v>-63631.877221328716</v>
      </c>
      <c r="G9" s="95">
        <f>Datos!P90</f>
        <v>10595876</v>
      </c>
      <c r="H9" s="96">
        <f>Datos!S90</f>
        <v>9840850</v>
      </c>
      <c r="I9" s="92">
        <f>H9/G9</f>
        <v>0.92874340922826959</v>
      </c>
      <c r="J9" s="92">
        <f>I9/$I$29*100</f>
        <v>3.8848419068517934</v>
      </c>
      <c r="K9" s="92">
        <f>J9*0.3</f>
        <v>1.165452572055538</v>
      </c>
      <c r="L9" s="97">
        <f>Datos!$L$18*FGP!K9/100</f>
        <v>-36668.294545158635</v>
      </c>
      <c r="M9" s="98">
        <f>F9+L9</f>
        <v>-100300.17176648736</v>
      </c>
      <c r="N9" s="92">
        <f>K9+E9</f>
        <v>3.1879064628681713</v>
      </c>
      <c r="O9" s="92">
        <f>MINVERSE(N9)</f>
        <v>0.31368548972428012</v>
      </c>
      <c r="P9" s="92">
        <f>O9/O$29*100</f>
        <v>4.6150181798460652</v>
      </c>
      <c r="Q9" s="92">
        <f>P9*0.1</f>
        <v>0.46150181798460654</v>
      </c>
      <c r="R9" s="99">
        <f>$R$29*P9/100</f>
        <v>-14520.097171469733</v>
      </c>
      <c r="S9" s="100">
        <f>F9+L9+R9</f>
        <v>-114820.26893795709</v>
      </c>
      <c r="T9" s="101" t="e">
        <f>#REF!+K9+E9</f>
        <v>#REF!</v>
      </c>
      <c r="U9" s="102"/>
      <c r="V9" s="103"/>
      <c r="W9" s="103"/>
    </row>
    <row r="10" spans="2:23" s="104" customFormat="1" ht="16.5" customHeight="1" x14ac:dyDescent="0.25">
      <c r="B10" s="90" t="s">
        <v>76</v>
      </c>
      <c r="C10" s="91">
        <f>'CENSO (2)'!C11</f>
        <v>15229</v>
      </c>
      <c r="D10" s="92">
        <f t="shared" ref="D10:D28" si="0">C10/$C$29*100</f>
        <v>1.4036216369164749</v>
      </c>
      <c r="E10" s="93">
        <f t="shared" ref="E10:E28" si="1">D10*0.6</f>
        <v>0.8421729821498849</v>
      </c>
      <c r="F10" s="94">
        <f>Datos!$L$18*FGP!E10/100</f>
        <v>-26497.043043957536</v>
      </c>
      <c r="G10" s="95">
        <f>Datos!P91</f>
        <v>3514317</v>
      </c>
      <c r="H10" s="96">
        <f>Datos!S91</f>
        <v>3790321</v>
      </c>
      <c r="I10" s="92">
        <f t="shared" ref="I10:I28" si="2">H10/G10</f>
        <v>1.0785370244061649</v>
      </c>
      <c r="J10" s="92">
        <f t="shared" ref="J10:J28" si="3">I10/$I$29*100</f>
        <v>4.5114137972574149</v>
      </c>
      <c r="K10" s="105">
        <f t="shared" ref="K10:K28" si="4">J10*0.3</f>
        <v>1.3534241391772244</v>
      </c>
      <c r="L10" s="97">
        <f>Datos!$L$18*FGP!K10/100</f>
        <v>-42582.389167796442</v>
      </c>
      <c r="M10" s="106">
        <f t="shared" ref="M10:M29" si="5">F10+L10</f>
        <v>-69079.43221175397</v>
      </c>
      <c r="N10" s="105">
        <f t="shared" ref="N10:N28" si="6">K10+E10</f>
        <v>2.1955971213271095</v>
      </c>
      <c r="O10" s="105">
        <f t="shared" ref="O10:O28" si="7">MINVERSE(N10)</f>
        <v>0.45545696443414846</v>
      </c>
      <c r="P10" s="105">
        <f t="shared" ref="P10:P28" si="8">O10/O$29*100</f>
        <v>6.7007950315095544</v>
      </c>
      <c r="Q10" s="105">
        <f t="shared" ref="Q10:Q28" si="9">P10*0.1</f>
        <v>0.67007950315095544</v>
      </c>
      <c r="R10" s="99">
        <f t="shared" ref="R10:R28" si="10">$R$29*P10/100</f>
        <v>-21082.516079463345</v>
      </c>
      <c r="S10" s="100">
        <f t="shared" ref="S10:S28" si="11">F10+L10+R10</f>
        <v>-90161.948291217312</v>
      </c>
      <c r="T10" s="101" t="e">
        <f>#REF!+K10+E10</f>
        <v>#REF!</v>
      </c>
      <c r="U10" s="102"/>
      <c r="V10" s="103"/>
      <c r="W10" s="103"/>
    </row>
    <row r="11" spans="2:23" s="104" customFormat="1" ht="16.5" customHeight="1" x14ac:dyDescent="0.25">
      <c r="B11" s="90" t="s">
        <v>77</v>
      </c>
      <c r="C11" s="91">
        <f>'CENSO (2)'!C12</f>
        <v>11188</v>
      </c>
      <c r="D11" s="92">
        <f t="shared" si="0"/>
        <v>1.0311720319010782</v>
      </c>
      <c r="E11" s="93">
        <f t="shared" si="1"/>
        <v>0.61870321914064685</v>
      </c>
      <c r="F11" s="94">
        <f>Datos!$L$18*FGP!E11/100</f>
        <v>-19466.079031833793</v>
      </c>
      <c r="G11" s="95">
        <f>Datos!P92</f>
        <v>3191771</v>
      </c>
      <c r="H11" s="96">
        <f>Datos!S92</f>
        <v>3689187</v>
      </c>
      <c r="I11" s="92">
        <f t="shared" si="2"/>
        <v>1.1558432606850555</v>
      </c>
      <c r="J11" s="92">
        <f t="shared" si="3"/>
        <v>4.8347781445821196</v>
      </c>
      <c r="K11" s="105">
        <f t="shared" si="4"/>
        <v>1.4504334433746358</v>
      </c>
      <c r="L11" s="97">
        <f>Datos!$L$18*FGP!K11/100</f>
        <v>-45634.564627547421</v>
      </c>
      <c r="M11" s="106">
        <f t="shared" si="5"/>
        <v>-65100.64365938121</v>
      </c>
      <c r="N11" s="105">
        <f t="shared" si="6"/>
        <v>2.0691366625152825</v>
      </c>
      <c r="O11" s="105">
        <f t="shared" si="7"/>
        <v>0.48329335520273498</v>
      </c>
      <c r="P11" s="105">
        <f t="shared" si="8"/>
        <v>7.1103308680930164</v>
      </c>
      <c r="Q11" s="105">
        <f t="shared" si="9"/>
        <v>0.71103308680930166</v>
      </c>
      <c r="R11" s="99">
        <f t="shared" si="10"/>
        <v>-22371.026744136256</v>
      </c>
      <c r="S11" s="100">
        <f t="shared" si="11"/>
        <v>-87471.670403517463</v>
      </c>
      <c r="T11" s="101" t="e">
        <f>#REF!+K11+E11</f>
        <v>#REF!</v>
      </c>
      <c r="U11" s="102"/>
      <c r="V11" s="103"/>
      <c r="W11" s="103"/>
    </row>
    <row r="12" spans="2:23" s="104" customFormat="1" ht="16.5" customHeight="1" x14ac:dyDescent="0.25">
      <c r="B12" s="90" t="s">
        <v>78</v>
      </c>
      <c r="C12" s="91">
        <f>'CENSO (2)'!C13</f>
        <v>124205</v>
      </c>
      <c r="D12" s="92">
        <f t="shared" si="0"/>
        <v>11.447687005923617</v>
      </c>
      <c r="E12" s="93">
        <f t="shared" si="1"/>
        <v>6.8686122035541706</v>
      </c>
      <c r="F12" s="94">
        <f>Datos!$L$18*FGP!E12/100</f>
        <v>-216105.14355996755</v>
      </c>
      <c r="G12" s="95">
        <f>Datos!P93</f>
        <v>160191302</v>
      </c>
      <c r="H12" s="96">
        <f>Datos!S93</f>
        <v>200100586</v>
      </c>
      <c r="I12" s="92">
        <f t="shared" si="2"/>
        <v>1.2491351496724834</v>
      </c>
      <c r="J12" s="92">
        <f t="shared" si="3"/>
        <v>5.2250088975614357</v>
      </c>
      <c r="K12" s="105">
        <f t="shared" si="4"/>
        <v>1.5675026692684306</v>
      </c>
      <c r="L12" s="97">
        <f>Datos!$L$18*FGP!K12/100</f>
        <v>-49317.879556164546</v>
      </c>
      <c r="M12" s="106">
        <f t="shared" si="5"/>
        <v>-265423.02311613207</v>
      </c>
      <c r="N12" s="105">
        <f t="shared" si="6"/>
        <v>8.4361148728226016</v>
      </c>
      <c r="O12" s="105">
        <f t="shared" si="7"/>
        <v>0.11853797809481635</v>
      </c>
      <c r="P12" s="105">
        <f t="shared" si="8"/>
        <v>1.7439599274758182</v>
      </c>
      <c r="Q12" s="105">
        <f t="shared" si="9"/>
        <v>0.17439599274758183</v>
      </c>
      <c r="R12" s="99">
        <f t="shared" si="10"/>
        <v>-5486.9702833852816</v>
      </c>
      <c r="S12" s="100">
        <f t="shared" si="11"/>
        <v>-270909.99339951738</v>
      </c>
      <c r="T12" s="101" t="e">
        <f>#REF!+K12+E12</f>
        <v>#REF!</v>
      </c>
      <c r="U12" s="102"/>
      <c r="V12" s="103"/>
      <c r="W12" s="103"/>
    </row>
    <row r="13" spans="2:23" s="104" customFormat="1" ht="16.5" customHeight="1" x14ac:dyDescent="0.25">
      <c r="B13" s="90" t="s">
        <v>79</v>
      </c>
      <c r="C13" s="91">
        <f>'CENSO (2)'!C14</f>
        <v>70399</v>
      </c>
      <c r="D13" s="92">
        <f t="shared" si="0"/>
        <v>6.4885126808905982</v>
      </c>
      <c r="E13" s="93">
        <f t="shared" si="1"/>
        <v>3.8931076085343586</v>
      </c>
      <c r="F13" s="94">
        <f>Datos!$L$18*FGP!E13/100</f>
        <v>-122487.70984644863</v>
      </c>
      <c r="G13" s="95">
        <f>Datos!P94</f>
        <v>35101187</v>
      </c>
      <c r="H13" s="96">
        <f>Datos!S94</f>
        <v>38608461</v>
      </c>
      <c r="I13" s="92">
        <f t="shared" si="2"/>
        <v>1.0999189571566341</v>
      </c>
      <c r="J13" s="92">
        <f t="shared" si="3"/>
        <v>4.6008523090930273</v>
      </c>
      <c r="K13" s="105">
        <f t="shared" si="4"/>
        <v>1.3802556927279082</v>
      </c>
      <c r="L13" s="97">
        <f>Datos!$L$18*FGP!K13/100</f>
        <v>-43426.582515763745</v>
      </c>
      <c r="M13" s="106">
        <f t="shared" si="5"/>
        <v>-165914.29236221238</v>
      </c>
      <c r="N13" s="105">
        <f t="shared" si="6"/>
        <v>5.2733633012622665</v>
      </c>
      <c r="O13" s="105">
        <f t="shared" si="7"/>
        <v>0.18963229780899668</v>
      </c>
      <c r="P13" s="105">
        <f t="shared" si="8"/>
        <v>2.7899170683468286</v>
      </c>
      <c r="Q13" s="105">
        <f t="shared" si="9"/>
        <v>0.27899170683468288</v>
      </c>
      <c r="R13" s="99">
        <f t="shared" si="10"/>
        <v>-8777.8347460570858</v>
      </c>
      <c r="S13" s="100">
        <f t="shared" si="11"/>
        <v>-174692.12710826946</v>
      </c>
      <c r="T13" s="101" t="e">
        <f>#REF!+K13+E13</f>
        <v>#REF!</v>
      </c>
      <c r="U13" s="102"/>
      <c r="V13" s="103"/>
      <c r="W13" s="103"/>
    </row>
    <row r="14" spans="2:23" s="104" customFormat="1" ht="16.5" customHeight="1" x14ac:dyDescent="0.25">
      <c r="B14" s="90" t="s">
        <v>80</v>
      </c>
      <c r="C14" s="91">
        <f>'CENSO (2)'!C15</f>
        <v>34300</v>
      </c>
      <c r="D14" s="92">
        <f t="shared" si="0"/>
        <v>3.1613515100292262</v>
      </c>
      <c r="E14" s="93">
        <f t="shared" si="1"/>
        <v>1.8968109060175355</v>
      </c>
      <c r="F14" s="94">
        <f>Datos!$L$18*FGP!E14/100</f>
        <v>-59678.808615650618</v>
      </c>
      <c r="G14" s="95">
        <f>Datos!P95</f>
        <v>66546</v>
      </c>
      <c r="H14" s="96">
        <f>Datos!S95</f>
        <v>56558</v>
      </c>
      <c r="I14" s="92">
        <f t="shared" si="2"/>
        <v>0.84990833408469324</v>
      </c>
      <c r="J14" s="92">
        <f t="shared" si="3"/>
        <v>3.5550825776286001</v>
      </c>
      <c r="K14" s="105">
        <f t="shared" si="4"/>
        <v>1.0665247732885801</v>
      </c>
      <c r="L14" s="97">
        <f>Datos!$L$18*FGP!K14/100</f>
        <v>-33555.758050007185</v>
      </c>
      <c r="M14" s="106">
        <f t="shared" si="5"/>
        <v>-93234.566665657796</v>
      </c>
      <c r="N14" s="105">
        <f t="shared" si="6"/>
        <v>2.9633356793061156</v>
      </c>
      <c r="O14" s="105">
        <f t="shared" si="7"/>
        <v>0.33745755061882038</v>
      </c>
      <c r="P14" s="105">
        <f t="shared" si="8"/>
        <v>4.9647585943521406</v>
      </c>
      <c r="Q14" s="105">
        <f t="shared" si="9"/>
        <v>0.49647585943521411</v>
      </c>
      <c r="R14" s="99">
        <f t="shared" si="10"/>
        <v>-15620.475242697115</v>
      </c>
      <c r="S14" s="100">
        <f t="shared" si="11"/>
        <v>-108855.04190835491</v>
      </c>
      <c r="T14" s="101" t="e">
        <f>#REF!+K14+E14</f>
        <v>#REF!</v>
      </c>
      <c r="U14" s="102"/>
      <c r="V14" s="103"/>
      <c r="W14" s="103"/>
    </row>
    <row r="15" spans="2:23" s="104" customFormat="1" ht="16.5" customHeight="1" x14ac:dyDescent="0.25">
      <c r="B15" s="90" t="s">
        <v>81</v>
      </c>
      <c r="C15" s="91">
        <f>'CENSO (2)'!C16</f>
        <v>11400</v>
      </c>
      <c r="D15" s="92">
        <f t="shared" si="0"/>
        <v>1.050711580592804</v>
      </c>
      <c r="E15" s="93">
        <f t="shared" si="1"/>
        <v>0.63042694835568236</v>
      </c>
      <c r="F15" s="94">
        <f>Datos!$L$18*FGP!E15/100</f>
        <v>-19834.939306659388</v>
      </c>
      <c r="G15" s="95">
        <f>Datos!P96</f>
        <v>200502</v>
      </c>
      <c r="H15" s="96">
        <f>Datos!S96</f>
        <v>81890</v>
      </c>
      <c r="I15" s="92">
        <f t="shared" si="2"/>
        <v>0.40842485361742026</v>
      </c>
      <c r="J15" s="92">
        <f t="shared" si="3"/>
        <v>1.7084008041049661</v>
      </c>
      <c r="K15" s="105">
        <f t="shared" si="4"/>
        <v>0.51252024123148976</v>
      </c>
      <c r="L15" s="97">
        <f>Datos!$L$18*FGP!K15/100</f>
        <v>-16125.274950216044</v>
      </c>
      <c r="M15" s="106">
        <f t="shared" si="5"/>
        <v>-35960.214256875435</v>
      </c>
      <c r="N15" s="105">
        <f t="shared" si="6"/>
        <v>1.1429471895871721</v>
      </c>
      <c r="O15" s="105">
        <f t="shared" si="7"/>
        <v>0.87493106340389704</v>
      </c>
      <c r="P15" s="105">
        <f t="shared" si="8"/>
        <v>12.872201284382509</v>
      </c>
      <c r="Q15" s="105">
        <f t="shared" si="9"/>
        <v>1.287220128438251</v>
      </c>
      <c r="R15" s="99">
        <f t="shared" si="10"/>
        <v>-40499.431676385248</v>
      </c>
      <c r="S15" s="100">
        <f t="shared" si="11"/>
        <v>-76459.645933260676</v>
      </c>
      <c r="T15" s="101" t="e">
        <f>#REF!+K15+E15</f>
        <v>#REF!</v>
      </c>
      <c r="U15" s="102"/>
      <c r="V15" s="103"/>
      <c r="W15" s="103"/>
    </row>
    <row r="16" spans="2:23" s="104" customFormat="1" ht="16.5" customHeight="1" x14ac:dyDescent="0.25">
      <c r="B16" s="90" t="s">
        <v>82</v>
      </c>
      <c r="C16" s="91">
        <f>'CENSO (2)'!C17</f>
        <v>27273</v>
      </c>
      <c r="D16" s="92">
        <f t="shared" si="0"/>
        <v>2.5136892050445216</v>
      </c>
      <c r="E16" s="93">
        <f t="shared" si="1"/>
        <v>1.5082135230267129</v>
      </c>
      <c r="F16" s="94">
        <f>Datos!$L$18*FGP!E16/100</f>
        <v>-47452.482430747506</v>
      </c>
      <c r="G16" s="95">
        <f>Datos!P97</f>
        <v>11189288</v>
      </c>
      <c r="H16" s="96">
        <f>Datos!S97</f>
        <v>9310961</v>
      </c>
      <c r="I16" s="92">
        <f t="shared" si="2"/>
        <v>0.8321316780835385</v>
      </c>
      <c r="J16" s="92">
        <f t="shared" si="3"/>
        <v>3.4807245821792883</v>
      </c>
      <c r="K16" s="105">
        <f t="shared" si="4"/>
        <v>1.0442173746537864</v>
      </c>
      <c r="L16" s="97">
        <f>Datos!$L$18*FGP!K16/100</f>
        <v>-32853.906869367369</v>
      </c>
      <c r="M16" s="106">
        <f t="shared" si="5"/>
        <v>-80306.389300114883</v>
      </c>
      <c r="N16" s="105">
        <f t="shared" si="6"/>
        <v>2.552430897680499</v>
      </c>
      <c r="O16" s="105">
        <f t="shared" si="7"/>
        <v>0.39178337831153115</v>
      </c>
      <c r="P16" s="105">
        <f t="shared" si="8"/>
        <v>5.7640135508291372</v>
      </c>
      <c r="Q16" s="105">
        <f t="shared" si="9"/>
        <v>0.57640135508291379</v>
      </c>
      <c r="R16" s="99">
        <f t="shared" si="10"/>
        <v>-18135.14781397871</v>
      </c>
      <c r="S16" s="100">
        <f t="shared" si="11"/>
        <v>-98441.537114093589</v>
      </c>
      <c r="T16" s="101" t="e">
        <f>#REF!+K16+E16</f>
        <v>#REF!</v>
      </c>
      <c r="U16" s="102"/>
      <c r="V16" s="103"/>
      <c r="W16" s="103"/>
    </row>
    <row r="17" spans="2:23" s="104" customFormat="1" ht="16.5" customHeight="1" x14ac:dyDescent="0.25">
      <c r="B17" s="90" t="s">
        <v>83</v>
      </c>
      <c r="C17" s="91">
        <f>'CENSO (2)'!C18</f>
        <v>17698</v>
      </c>
      <c r="D17" s="92">
        <f t="shared" si="0"/>
        <v>1.6311836450290742</v>
      </c>
      <c r="E17" s="93">
        <f t="shared" si="1"/>
        <v>0.9787101870174445</v>
      </c>
      <c r="F17" s="94">
        <f>Datos!$L$18*FGP!E17/100</f>
        <v>-30792.873320110342</v>
      </c>
      <c r="G17" s="95">
        <f>Datos!P98</f>
        <v>2644098</v>
      </c>
      <c r="H17" s="96">
        <f>Datos!S98</f>
        <v>3182383</v>
      </c>
      <c r="I17" s="92">
        <f t="shared" si="2"/>
        <v>1.2035798219279317</v>
      </c>
      <c r="J17" s="92">
        <f t="shared" si="3"/>
        <v>5.0344554631640293</v>
      </c>
      <c r="K17" s="105">
        <f t="shared" si="4"/>
        <v>1.5103366389492088</v>
      </c>
      <c r="L17" s="97">
        <f>Datos!$L$18*FGP!K17/100</f>
        <v>-47519.2814081287</v>
      </c>
      <c r="M17" s="106">
        <f t="shared" si="5"/>
        <v>-78312.154728239038</v>
      </c>
      <c r="N17" s="105">
        <f t="shared" si="6"/>
        <v>2.4890468259666534</v>
      </c>
      <c r="O17" s="105">
        <f t="shared" si="7"/>
        <v>0.40176021984304661</v>
      </c>
      <c r="P17" s="105">
        <f t="shared" si="8"/>
        <v>5.9107953005551375</v>
      </c>
      <c r="Q17" s="105">
        <f t="shared" si="9"/>
        <v>0.59107953005551372</v>
      </c>
      <c r="R17" s="99">
        <f t="shared" si="10"/>
        <v>-18596.962954453618</v>
      </c>
      <c r="S17" s="100">
        <f t="shared" si="11"/>
        <v>-96909.117682692653</v>
      </c>
      <c r="T17" s="101" t="e">
        <f>#REF!+K17+E17</f>
        <v>#REF!</v>
      </c>
      <c r="U17" s="102"/>
      <c r="V17" s="103"/>
      <c r="W17" s="103"/>
    </row>
    <row r="18" spans="2:23" s="104" customFormat="1" ht="16.5" customHeight="1" x14ac:dyDescent="0.25">
      <c r="B18" s="90" t="s">
        <v>84</v>
      </c>
      <c r="C18" s="91">
        <f>'CENSO (2)'!C19</f>
        <v>13600</v>
      </c>
      <c r="D18" s="92">
        <f t="shared" si="0"/>
        <v>1.2534804821107137</v>
      </c>
      <c r="E18" s="93">
        <f t="shared" si="1"/>
        <v>0.75208828926642823</v>
      </c>
      <c r="F18" s="94">
        <f>Datos!$L$18*FGP!E18/100</f>
        <v>-23662.73461145331</v>
      </c>
      <c r="G18" s="95">
        <f>Datos!P99</f>
        <v>536720</v>
      </c>
      <c r="H18" s="96">
        <f>Datos!S99</f>
        <v>581941</v>
      </c>
      <c r="I18" s="92">
        <f t="shared" si="2"/>
        <v>1.0842543598151737</v>
      </c>
      <c r="J18" s="92">
        <f t="shared" si="3"/>
        <v>4.5353288463137531</v>
      </c>
      <c r="K18" s="105">
        <f t="shared" si="4"/>
        <v>1.3605986538941259</v>
      </c>
      <c r="L18" s="97">
        <f>Datos!$L$18*FGP!K18/100</f>
        <v>-42808.118832963279</v>
      </c>
      <c r="M18" s="106">
        <f t="shared" si="5"/>
        <v>-66470.853444416585</v>
      </c>
      <c r="N18" s="105">
        <f t="shared" si="6"/>
        <v>2.1126869431605542</v>
      </c>
      <c r="O18" s="105">
        <f t="shared" si="7"/>
        <v>0.47333089421379776</v>
      </c>
      <c r="P18" s="105">
        <f t="shared" si="8"/>
        <v>6.9637606884510923</v>
      </c>
      <c r="Q18" s="105">
        <f t="shared" si="9"/>
        <v>0.69637606884510928</v>
      </c>
      <c r="R18" s="99">
        <f t="shared" si="10"/>
        <v>-21909.877260449604</v>
      </c>
      <c r="S18" s="100">
        <f t="shared" si="11"/>
        <v>-88380.73070486619</v>
      </c>
      <c r="T18" s="101" t="e">
        <f>#REF!+K18+E18</f>
        <v>#REF!</v>
      </c>
      <c r="U18" s="102"/>
      <c r="V18" s="103"/>
      <c r="W18" s="103"/>
    </row>
    <row r="19" spans="2:23" s="104" customFormat="1" ht="16.5" customHeight="1" x14ac:dyDescent="0.25">
      <c r="B19" s="90" t="s">
        <v>85</v>
      </c>
      <c r="C19" s="91">
        <f>'CENSO (2)'!C20</f>
        <v>34393</v>
      </c>
      <c r="D19" s="92">
        <f t="shared" si="0"/>
        <v>3.1699231045024834</v>
      </c>
      <c r="E19" s="93">
        <f t="shared" si="1"/>
        <v>1.90195386270149</v>
      </c>
      <c r="F19" s="94">
        <f>Datos!$L$18*FGP!E19/100</f>
        <v>-59840.619962626006</v>
      </c>
      <c r="G19" s="95">
        <f>Datos!P100</f>
        <v>1677324</v>
      </c>
      <c r="H19" s="96">
        <f>Datos!S100</f>
        <v>2120104</v>
      </c>
      <c r="I19" s="92">
        <f t="shared" si="2"/>
        <v>1.2639800062480475</v>
      </c>
      <c r="J19" s="92">
        <f t="shared" si="3"/>
        <v>5.2871034657198006</v>
      </c>
      <c r="K19" s="105">
        <f t="shared" si="4"/>
        <v>1.58613103971594</v>
      </c>
      <c r="L19" s="97">
        <f>Datos!$L$18*FGP!K19/100</f>
        <v>-49903.978545384547</v>
      </c>
      <c r="M19" s="106">
        <f t="shared" si="5"/>
        <v>-109744.59850801056</v>
      </c>
      <c r="N19" s="105">
        <f t="shared" si="6"/>
        <v>3.4880849024174303</v>
      </c>
      <c r="O19" s="105">
        <f t="shared" si="7"/>
        <v>0.2866902692956087</v>
      </c>
      <c r="P19" s="105">
        <f t="shared" si="8"/>
        <v>4.217857848468368</v>
      </c>
      <c r="Q19" s="105">
        <f t="shared" si="9"/>
        <v>0.42178578484683682</v>
      </c>
      <c r="R19" s="99">
        <f t="shared" si="10"/>
        <v>-13270.523198079743</v>
      </c>
      <c r="S19" s="100">
        <f t="shared" si="11"/>
        <v>-123015.1217060903</v>
      </c>
      <c r="T19" s="101" t="e">
        <f>#REF!+K19+E19</f>
        <v>#REF!</v>
      </c>
      <c r="U19" s="102"/>
      <c r="V19" s="103"/>
      <c r="W19" s="103"/>
    </row>
    <row r="20" spans="2:23" s="104" customFormat="1" ht="16.5" customHeight="1" x14ac:dyDescent="0.25">
      <c r="B20" s="90" t="s">
        <v>86</v>
      </c>
      <c r="C20" s="91">
        <f>'CENSO (2)'!C21</f>
        <v>23469</v>
      </c>
      <c r="D20" s="92">
        <f t="shared" si="0"/>
        <v>2.1630833407835541</v>
      </c>
      <c r="E20" s="93">
        <f t="shared" si="1"/>
        <v>1.2978500044701324</v>
      </c>
      <c r="F20" s="94">
        <f>Datos!$L$18*FGP!E20/100</f>
        <v>-40833.876367367477</v>
      </c>
      <c r="G20" s="95">
        <f>Datos!P101</f>
        <v>1510227</v>
      </c>
      <c r="H20" s="96">
        <f>Datos!S101</f>
        <v>6139057</v>
      </c>
      <c r="I20" s="92">
        <f t="shared" si="2"/>
        <v>4.0649895677934511</v>
      </c>
      <c r="J20" s="92">
        <f t="shared" si="3"/>
        <v>17.003449679391466</v>
      </c>
      <c r="K20" s="105">
        <f t="shared" si="4"/>
        <v>5.1010349038174398</v>
      </c>
      <c r="L20" s="97">
        <f>Datos!$L$18*FGP!K20/100</f>
        <v>-160492.37422713367</v>
      </c>
      <c r="M20" s="106">
        <f t="shared" si="5"/>
        <v>-201326.25059450115</v>
      </c>
      <c r="N20" s="105">
        <f t="shared" si="6"/>
        <v>6.3988849082875721</v>
      </c>
      <c r="O20" s="105">
        <f t="shared" si="7"/>
        <v>0.15627722866289426</v>
      </c>
      <c r="P20" s="105">
        <f t="shared" si="8"/>
        <v>2.2991890763233891</v>
      </c>
      <c r="Q20" s="105">
        <f t="shared" si="9"/>
        <v>0.22991890763233891</v>
      </c>
      <c r="R20" s="99">
        <f t="shared" si="10"/>
        <v>-7233.8715694747052</v>
      </c>
      <c r="S20" s="100">
        <f t="shared" si="11"/>
        <v>-208560.12216397584</v>
      </c>
      <c r="T20" s="101" t="e">
        <f>#REF!+K20+E20</f>
        <v>#REF!</v>
      </c>
      <c r="U20" s="102"/>
      <c r="V20" s="103"/>
      <c r="W20" s="103"/>
    </row>
    <row r="21" spans="2:23" s="104" customFormat="1" ht="16.5" customHeight="1" x14ac:dyDescent="0.25">
      <c r="B21" s="90" t="s">
        <v>87</v>
      </c>
      <c r="C21" s="91">
        <f>'CENSO (2)'!C22</f>
        <v>43120</v>
      </c>
      <c r="D21" s="92">
        <f t="shared" si="0"/>
        <v>3.9742704697510276</v>
      </c>
      <c r="E21" s="93">
        <f t="shared" si="1"/>
        <v>2.3845622818506165</v>
      </c>
      <c r="F21" s="94">
        <f>Datos!$L$18*FGP!E21/100</f>
        <v>-75024.787973960789</v>
      </c>
      <c r="G21" s="95">
        <f>Datos!P102</f>
        <v>3494573</v>
      </c>
      <c r="H21" s="96">
        <f>Datos!S102</f>
        <v>4353377</v>
      </c>
      <c r="I21" s="92">
        <f t="shared" si="2"/>
        <v>1.2457536299856951</v>
      </c>
      <c r="J21" s="92">
        <f t="shared" si="3"/>
        <v>5.2108643348570878</v>
      </c>
      <c r="K21" s="105">
        <f t="shared" si="4"/>
        <v>1.5632593004571262</v>
      </c>
      <c r="L21" s="97">
        <f>Datos!$L$18*FGP!K21/100</f>
        <v>-49184.371680196477</v>
      </c>
      <c r="M21" s="106">
        <f t="shared" si="5"/>
        <v>-124209.15965415727</v>
      </c>
      <c r="N21" s="105">
        <f t="shared" si="6"/>
        <v>3.9478215823077427</v>
      </c>
      <c r="O21" s="105">
        <f t="shared" si="7"/>
        <v>0.25330425378936172</v>
      </c>
      <c r="P21" s="105">
        <f t="shared" si="8"/>
        <v>3.7266745659729561</v>
      </c>
      <c r="Q21" s="105">
        <f t="shared" si="9"/>
        <v>0.37266745659729561</v>
      </c>
      <c r="R21" s="99">
        <f t="shared" si="10"/>
        <v>-11725.127554357116</v>
      </c>
      <c r="S21" s="100">
        <f t="shared" si="11"/>
        <v>-135934.28720851438</v>
      </c>
      <c r="T21" s="101" t="e">
        <f>#REF!+K21+E21</f>
        <v>#REF!</v>
      </c>
      <c r="U21" s="102"/>
      <c r="V21" s="103"/>
      <c r="W21" s="103"/>
    </row>
    <row r="22" spans="2:23" s="104" customFormat="1" ht="16.5" customHeight="1" x14ac:dyDescent="0.25">
      <c r="B22" s="90" t="s">
        <v>88</v>
      </c>
      <c r="C22" s="91">
        <f>'CENSO (2)'!C23</f>
        <v>7510</v>
      </c>
      <c r="D22" s="92">
        <f t="shared" si="0"/>
        <v>0.69217929563613667</v>
      </c>
      <c r="E22" s="93">
        <f t="shared" si="1"/>
        <v>0.415307577381682</v>
      </c>
      <c r="F22" s="94">
        <f>Datos!$L$18*FGP!E22/100</f>
        <v>-13066.701245001053</v>
      </c>
      <c r="G22" s="95">
        <f>Datos!P103</f>
        <v>1113213</v>
      </c>
      <c r="H22" s="96">
        <f>Datos!S103</f>
        <v>1276066</v>
      </c>
      <c r="I22" s="92">
        <f t="shared" si="2"/>
        <v>1.1462909613883416</v>
      </c>
      <c r="J22" s="92">
        <f t="shared" si="3"/>
        <v>4.7948218205361703</v>
      </c>
      <c r="K22" s="105">
        <f t="shared" si="4"/>
        <v>1.4384465461608511</v>
      </c>
      <c r="L22" s="97">
        <f>Datos!$L$18*FGP!K22/100</f>
        <v>-45257.42437469065</v>
      </c>
      <c r="M22" s="106">
        <f t="shared" si="5"/>
        <v>-58324.125619691702</v>
      </c>
      <c r="N22" s="105">
        <f t="shared" si="6"/>
        <v>1.853754123542533</v>
      </c>
      <c r="O22" s="105">
        <f t="shared" si="7"/>
        <v>0.53944586679542761</v>
      </c>
      <c r="P22" s="105">
        <f t="shared" si="8"/>
        <v>7.9364604479855192</v>
      </c>
      <c r="Q22" s="105">
        <f t="shared" si="9"/>
        <v>0.79364604479855194</v>
      </c>
      <c r="R22" s="99">
        <f t="shared" si="10"/>
        <v>-24970.254159674783</v>
      </c>
      <c r="S22" s="100">
        <f t="shared" si="11"/>
        <v>-83294.379779366485</v>
      </c>
      <c r="T22" s="101" t="e">
        <f>#REF!+K22+E22</f>
        <v>#REF!</v>
      </c>
      <c r="U22" s="102"/>
      <c r="V22" s="103"/>
      <c r="W22" s="103"/>
    </row>
    <row r="23" spans="2:23" s="104" customFormat="1" ht="16.5" customHeight="1" x14ac:dyDescent="0.25">
      <c r="B23" s="90" t="s">
        <v>89</v>
      </c>
      <c r="C23" s="91">
        <f>'CENSO (2)'!C24</f>
        <v>22412</v>
      </c>
      <c r="D23" s="92">
        <f t="shared" si="0"/>
        <v>2.0656621003724496</v>
      </c>
      <c r="E23" s="93">
        <f t="shared" si="1"/>
        <v>1.2393972602234697</v>
      </c>
      <c r="F23" s="94">
        <f>Datos!$L$18*FGP!E23/100</f>
        <v>-38994.794714109674</v>
      </c>
      <c r="G23" s="95">
        <f>Datos!P104</f>
        <v>2194344</v>
      </c>
      <c r="H23" s="96">
        <f>Datos!S104</f>
        <v>2538386</v>
      </c>
      <c r="I23" s="92">
        <f t="shared" si="2"/>
        <v>1.156785809335273</v>
      </c>
      <c r="J23" s="92">
        <f t="shared" si="3"/>
        <v>4.8387207324478618</v>
      </c>
      <c r="K23" s="105">
        <f t="shared" si="4"/>
        <v>1.4516162197343585</v>
      </c>
      <c r="L23" s="97">
        <f>Datos!$L$18*FGP!K23/100</f>
        <v>-45671.777975374069</v>
      </c>
      <c r="M23" s="106">
        <f t="shared" si="5"/>
        <v>-84666.572689483743</v>
      </c>
      <c r="N23" s="105">
        <f t="shared" si="6"/>
        <v>2.691013479957828</v>
      </c>
      <c r="O23" s="105">
        <f t="shared" si="7"/>
        <v>0.37160720577872075</v>
      </c>
      <c r="P23" s="105">
        <f t="shared" si="8"/>
        <v>5.4671767315026374</v>
      </c>
      <c r="Q23" s="105">
        <f t="shared" si="9"/>
        <v>0.54671767315026376</v>
      </c>
      <c r="R23" s="99">
        <f t="shared" si="10"/>
        <v>-17201.218782125026</v>
      </c>
      <c r="S23" s="100">
        <f t="shared" si="11"/>
        <v>-101867.79147160877</v>
      </c>
      <c r="T23" s="101" t="e">
        <f>#REF!+K23+E23</f>
        <v>#REF!</v>
      </c>
      <c r="U23" s="102"/>
      <c r="V23" s="103"/>
      <c r="W23" s="103"/>
    </row>
    <row r="24" spans="2:23" s="104" customFormat="1" ht="16.5" customHeight="1" x14ac:dyDescent="0.25">
      <c r="B24" s="90" t="s">
        <v>90</v>
      </c>
      <c r="C24" s="91">
        <f>'CENSO (2)'!C25</f>
        <v>93074</v>
      </c>
      <c r="D24" s="92">
        <f t="shared" si="0"/>
        <v>8.5784148817626882</v>
      </c>
      <c r="E24" s="93">
        <f t="shared" si="1"/>
        <v>5.1470489290576129</v>
      </c>
      <c r="F24" s="94">
        <f>Datos!$L$18*FGP!E24/100</f>
        <v>-161940.10009017686</v>
      </c>
      <c r="G24" s="95">
        <f>Datos!P105</f>
        <v>14203629</v>
      </c>
      <c r="H24" s="96">
        <f>Datos!S105</f>
        <v>12549885</v>
      </c>
      <c r="I24" s="92">
        <f t="shared" si="2"/>
        <v>0.88356891045239216</v>
      </c>
      <c r="J24" s="92">
        <f t="shared" si="3"/>
        <v>3.695881442398667</v>
      </c>
      <c r="K24" s="105">
        <f t="shared" si="4"/>
        <v>1.1087644327196</v>
      </c>
      <c r="L24" s="97">
        <f>Datos!$L$18*FGP!K24/100</f>
        <v>-34884.732141824643</v>
      </c>
      <c r="M24" s="106">
        <f t="shared" si="5"/>
        <v>-196824.8322320015</v>
      </c>
      <c r="N24" s="105">
        <f t="shared" si="6"/>
        <v>6.2558133617772125</v>
      </c>
      <c r="O24" s="105">
        <f t="shared" si="7"/>
        <v>0.15985131623490606</v>
      </c>
      <c r="P24" s="105">
        <f t="shared" si="8"/>
        <v>2.3517719329154949</v>
      </c>
      <c r="Q24" s="105">
        <f t="shared" si="9"/>
        <v>0.23517719329154951</v>
      </c>
      <c r="R24" s="99">
        <f t="shared" si="10"/>
        <v>-7399.3114783801775</v>
      </c>
      <c r="S24" s="100">
        <f t="shared" si="11"/>
        <v>-204224.14371038167</v>
      </c>
      <c r="T24" s="101" t="e">
        <f>#REF!+K24+E24</f>
        <v>#REF!</v>
      </c>
      <c r="U24" s="102"/>
      <c r="V24" s="103"/>
      <c r="W24" s="103"/>
    </row>
    <row r="25" spans="2:23" s="104" customFormat="1" ht="16.5" customHeight="1" x14ac:dyDescent="0.25">
      <c r="B25" s="90" t="s">
        <v>91</v>
      </c>
      <c r="C25" s="91">
        <f>'CENSO (2)'!C26</f>
        <v>39756</v>
      </c>
      <c r="D25" s="92">
        <f t="shared" si="0"/>
        <v>3.6642183857936419</v>
      </c>
      <c r="E25" s="93">
        <f t="shared" si="1"/>
        <v>2.1985310314761852</v>
      </c>
      <c r="F25" s="94">
        <f>Datos!$L$18*FGP!E25/100</f>
        <v>-69171.740971539548</v>
      </c>
      <c r="G25" s="95">
        <f>Datos!P106</f>
        <v>9399739</v>
      </c>
      <c r="H25" s="96">
        <f>Datos!S106</f>
        <v>12319331</v>
      </c>
      <c r="I25" s="92">
        <f t="shared" si="2"/>
        <v>1.31060351782108</v>
      </c>
      <c r="J25" s="92">
        <f t="shared" si="3"/>
        <v>5.4821250075189605</v>
      </c>
      <c r="K25" s="105">
        <f t="shared" si="4"/>
        <v>1.6446375022556881</v>
      </c>
      <c r="L25" s="97">
        <f>Datos!$L$18*FGP!K25/100</f>
        <v>-51744.750321638807</v>
      </c>
      <c r="M25" s="106">
        <f t="shared" si="5"/>
        <v>-120916.49129317835</v>
      </c>
      <c r="N25" s="105">
        <f t="shared" si="6"/>
        <v>3.8431685337318733</v>
      </c>
      <c r="O25" s="105">
        <f t="shared" si="7"/>
        <v>0.26020196388029831</v>
      </c>
      <c r="P25" s="105">
        <f t="shared" si="8"/>
        <v>3.8281553756111717</v>
      </c>
      <c r="Q25" s="105">
        <f t="shared" si="9"/>
        <v>0.38281553756111719</v>
      </c>
      <c r="R25" s="99">
        <f t="shared" si="10"/>
        <v>-12044.413667556231</v>
      </c>
      <c r="S25" s="100">
        <f t="shared" si="11"/>
        <v>-132960.90496073457</v>
      </c>
      <c r="T25" s="101" t="e">
        <f>#REF!+K25+E25</f>
        <v>#REF!</v>
      </c>
      <c r="U25" s="102"/>
      <c r="V25" s="103"/>
      <c r="W25" s="103"/>
    </row>
    <row r="26" spans="2:23" s="104" customFormat="1" ht="16.5" customHeight="1" x14ac:dyDescent="0.25">
      <c r="B26" s="90" t="s">
        <v>92</v>
      </c>
      <c r="C26" s="91">
        <f>'CENSO (2)'!C27</f>
        <v>380249</v>
      </c>
      <c r="D26" s="92">
        <f t="shared" si="0"/>
        <v>35.046669106037996</v>
      </c>
      <c r="E26" s="93">
        <f t="shared" si="1"/>
        <v>21.028001463622797</v>
      </c>
      <c r="F26" s="94">
        <f>Datos!$L$18*FGP!E26/100</f>
        <v>-661597.88038753741</v>
      </c>
      <c r="G26" s="95">
        <f>Datos!P107</f>
        <v>175762046</v>
      </c>
      <c r="H26" s="96">
        <f>Datos!S107</f>
        <v>236317850</v>
      </c>
      <c r="I26" s="92">
        <f t="shared" si="2"/>
        <v>1.3445328805514702</v>
      </c>
      <c r="J26" s="92">
        <f t="shared" si="3"/>
        <v>5.6240481790839914</v>
      </c>
      <c r="K26" s="105">
        <f t="shared" si="4"/>
        <v>1.6872144537251974</v>
      </c>
      <c r="L26" s="97">
        <f>Datos!$L$18*FGP!K26/100</f>
        <v>-53084.336534542628</v>
      </c>
      <c r="M26" s="106">
        <f t="shared" si="5"/>
        <v>-714682.21692208003</v>
      </c>
      <c r="N26" s="105">
        <f t="shared" si="6"/>
        <v>22.715215917347994</v>
      </c>
      <c r="O26" s="105">
        <f t="shared" si="7"/>
        <v>4.4023354373500939E-2</v>
      </c>
      <c r="P26" s="105">
        <f t="shared" si="8"/>
        <v>0.64768243169325923</v>
      </c>
      <c r="Q26" s="105">
        <f t="shared" si="9"/>
        <v>6.4768243169325931E-2</v>
      </c>
      <c r="R26" s="99">
        <f t="shared" si="10"/>
        <v>-2037.7843548936178</v>
      </c>
      <c r="S26" s="100">
        <f t="shared" si="11"/>
        <v>-716720.00127697363</v>
      </c>
      <c r="T26" s="101" t="e">
        <f>#REF!+K26+E26</f>
        <v>#REF!</v>
      </c>
      <c r="U26" s="102"/>
      <c r="V26" s="103"/>
      <c r="W26" s="103"/>
    </row>
    <row r="27" spans="2:23" s="104" customFormat="1" ht="16.5" customHeight="1" x14ac:dyDescent="0.25">
      <c r="B27" s="90" t="s">
        <v>93</v>
      </c>
      <c r="C27" s="91">
        <f>'CENSO (2)'!C28</f>
        <v>30030</v>
      </c>
      <c r="D27" s="92">
        <f t="shared" si="0"/>
        <v>2.7677955057194654</v>
      </c>
      <c r="E27" s="93">
        <f t="shared" si="1"/>
        <v>1.6606773034316793</v>
      </c>
      <c r="F27" s="94">
        <f>Datos!$L$18*FGP!E27/100</f>
        <v>-52249.405910436973</v>
      </c>
      <c r="G27" s="95">
        <f>Datos!P108</f>
        <v>3206891</v>
      </c>
      <c r="H27" s="96">
        <f>Datos!S108</f>
        <v>1516592</v>
      </c>
      <c r="I27" s="92">
        <f t="shared" si="2"/>
        <v>0.4729166036513246</v>
      </c>
      <c r="J27" s="92">
        <f t="shared" si="3"/>
        <v>1.9781634217326987</v>
      </c>
      <c r="K27" s="105">
        <f t="shared" si="4"/>
        <v>0.59344902651980957</v>
      </c>
      <c r="L27" s="97">
        <f>Datos!$L$18*FGP!K27/100</f>
        <v>-18671.513731001538</v>
      </c>
      <c r="M27" s="106">
        <f t="shared" si="5"/>
        <v>-70920.919641438508</v>
      </c>
      <c r="N27" s="105">
        <f t="shared" si="6"/>
        <v>2.2541263299514886</v>
      </c>
      <c r="O27" s="105">
        <f t="shared" si="7"/>
        <v>0.44363085897742083</v>
      </c>
      <c r="P27" s="105">
        <f t="shared" si="8"/>
        <v>6.5268064554758114</v>
      </c>
      <c r="Q27" s="105">
        <f t="shared" si="9"/>
        <v>0.65268064554758121</v>
      </c>
      <c r="R27" s="99">
        <f t="shared" si="10"/>
        <v>-20535.100894455369</v>
      </c>
      <c r="S27" s="100">
        <f t="shared" si="11"/>
        <v>-91456.020535893884</v>
      </c>
      <c r="T27" s="101" t="e">
        <f>#REF!+K27+E27</f>
        <v>#REF!</v>
      </c>
      <c r="U27" s="102"/>
      <c r="V27" s="103"/>
      <c r="W27" s="103"/>
    </row>
    <row r="28" spans="2:23" s="104" customFormat="1" ht="16.5" customHeight="1" thickBot="1" x14ac:dyDescent="0.3">
      <c r="B28" s="107" t="s">
        <v>94</v>
      </c>
      <c r="C28" s="108">
        <f>'CENSO (2)'!C29</f>
        <v>49102</v>
      </c>
      <c r="D28" s="109">
        <f t="shared" si="0"/>
        <v>4.5256175465147246</v>
      </c>
      <c r="E28" s="110">
        <f t="shared" si="1"/>
        <v>2.7153705279088345</v>
      </c>
      <c r="F28" s="111">
        <f>Datos!$L$18*FGP!E28/100</f>
        <v>-85432.911389086774</v>
      </c>
      <c r="G28" s="112">
        <f>Datos!P109</f>
        <v>24570163</v>
      </c>
      <c r="H28" s="113">
        <f>Datos!S109</f>
        <v>27689428</v>
      </c>
      <c r="I28" s="114">
        <f t="shared" si="2"/>
        <v>1.1269533702320167</v>
      </c>
      <c r="J28" s="109">
        <f t="shared" si="3"/>
        <v>4.7139345875768743</v>
      </c>
      <c r="K28" s="114">
        <f t="shared" si="4"/>
        <v>1.4141803762730623</v>
      </c>
      <c r="L28" s="115">
        <f>Datos!$L$18*FGP!K28/100</f>
        <v>-44493.944945099676</v>
      </c>
      <c r="M28" s="116">
        <f t="shared" si="5"/>
        <v>-129926.85633418645</v>
      </c>
      <c r="N28" s="114">
        <f t="shared" si="6"/>
        <v>4.1295509041818965</v>
      </c>
      <c r="O28" s="114">
        <f t="shared" si="7"/>
        <v>0.24215708274411246</v>
      </c>
      <c r="P28" s="114">
        <f t="shared" si="8"/>
        <v>3.5626746402100626</v>
      </c>
      <c r="Q28" s="114">
        <f t="shared" si="9"/>
        <v>0.35626746402100629</v>
      </c>
      <c r="R28" s="117">
        <f t="shared" si="10"/>
        <v>-11209.13936852716</v>
      </c>
      <c r="S28" s="100">
        <f t="shared" si="11"/>
        <v>-141135.99570271361</v>
      </c>
      <c r="T28" s="101" t="e">
        <f>#REF!+K28+E28</f>
        <v>#REF!</v>
      </c>
      <c r="U28" s="102"/>
      <c r="V28" s="103"/>
      <c r="W28" s="103"/>
    </row>
    <row r="29" spans="2:23" s="104" customFormat="1" ht="16.5" customHeight="1" thickBot="1" x14ac:dyDescent="0.3">
      <c r="B29" s="118" t="s">
        <v>95</v>
      </c>
      <c r="C29" s="119">
        <f>SUM(C9:C28)</f>
        <v>1084979</v>
      </c>
      <c r="D29" s="120">
        <f>SUM(D9:D28)</f>
        <v>99.999999999999986</v>
      </c>
      <c r="E29" s="123">
        <f t="shared" ref="E29:L29" si="12">SUM(E9:E28)</f>
        <v>59.999999999999993</v>
      </c>
      <c r="F29" s="121">
        <f t="shared" si="12"/>
        <v>-1887762.51</v>
      </c>
      <c r="G29" s="121">
        <f t="shared" si="12"/>
        <v>464363756</v>
      </c>
      <c r="H29" s="121">
        <f t="shared" si="12"/>
        <v>576063214</v>
      </c>
      <c r="I29" s="122">
        <f t="shared" si="12"/>
        <v>23.906852106136455</v>
      </c>
      <c r="J29" s="123">
        <f t="shared" si="12"/>
        <v>100.00000000000001</v>
      </c>
      <c r="K29" s="123">
        <f t="shared" si="12"/>
        <v>30</v>
      </c>
      <c r="L29" s="124">
        <f t="shared" si="12"/>
        <v>-943881.25499999989</v>
      </c>
      <c r="M29" s="125">
        <f t="shared" si="5"/>
        <v>-2831643.7649999997</v>
      </c>
      <c r="N29" s="126">
        <f t="shared" ref="N29:S29" si="13">SUM(N9:N28)</f>
        <v>89.999999999999986</v>
      </c>
      <c r="O29" s="126">
        <f t="shared" si="13"/>
        <v>6.7970585921883231</v>
      </c>
      <c r="P29" s="126">
        <f t="shared" si="13"/>
        <v>99.999999999999957</v>
      </c>
      <c r="Q29" s="126">
        <f t="shared" si="13"/>
        <v>9.9999999999999964</v>
      </c>
      <c r="R29" s="127">
        <f>Datos!L17</f>
        <v>-314627.08500000002</v>
      </c>
      <c r="S29" s="125">
        <f t="shared" si="13"/>
        <v>-3146270.8499999996</v>
      </c>
      <c r="T29" s="101" t="e">
        <f>#REF!+K29+E29</f>
        <v>#REF!</v>
      </c>
      <c r="U29" s="102"/>
      <c r="V29" s="103"/>
      <c r="W29" s="103"/>
    </row>
    <row r="30" spans="2:23" s="104" customFormat="1" ht="21.75" customHeight="1" x14ac:dyDescent="0.25">
      <c r="B30" s="128" t="s">
        <v>96</v>
      </c>
      <c r="C30" s="129"/>
      <c r="D30" s="130"/>
      <c r="E30" s="131"/>
      <c r="F30" s="132"/>
      <c r="G30" s="132"/>
      <c r="H30" s="132"/>
      <c r="I30" s="130"/>
      <c r="J30" s="133"/>
      <c r="K30" s="131"/>
      <c r="L30" s="129"/>
      <c r="M30" s="134"/>
      <c r="N30" s="133"/>
      <c r="O30" s="133"/>
      <c r="P30" s="133"/>
      <c r="Q30" s="133"/>
      <c r="R30" s="129"/>
      <c r="S30" s="134"/>
    </row>
    <row r="31" spans="2:23" s="104" customFormat="1" ht="23.25" customHeight="1" x14ac:dyDescent="0.25">
      <c r="B31" s="135" t="s">
        <v>218</v>
      </c>
      <c r="C31" s="135"/>
      <c r="D31" s="135"/>
      <c r="E31" s="135"/>
      <c r="F31" s="135"/>
      <c r="G31" s="135"/>
      <c r="H31" s="135"/>
      <c r="I31" s="135"/>
      <c r="J31" s="135"/>
      <c r="K31" s="135"/>
      <c r="L31" s="135"/>
      <c r="M31" s="135"/>
      <c r="N31" s="135"/>
      <c r="O31" s="135"/>
      <c r="P31" s="135"/>
      <c r="Q31" s="135"/>
      <c r="R31" s="135"/>
      <c r="S31" s="135"/>
    </row>
    <row r="32" spans="2:23" x14ac:dyDescent="0.25">
      <c r="C32" s="372"/>
      <c r="D32" s="372"/>
      <c r="E32" s="372"/>
      <c r="F32" s="372"/>
      <c r="G32" s="372"/>
      <c r="H32" s="372"/>
      <c r="I32" s="372"/>
      <c r="J32" s="372"/>
      <c r="K32" s="372"/>
      <c r="L32" s="372"/>
      <c r="M32" s="372"/>
      <c r="N32" s="372"/>
      <c r="O32" s="372"/>
      <c r="P32" s="372"/>
      <c r="Q32" s="372"/>
      <c r="R32" s="372"/>
      <c r="S32" s="372"/>
    </row>
    <row r="33" spans="3:19" x14ac:dyDescent="0.25">
      <c r="C33" s="372"/>
      <c r="D33" s="372"/>
      <c r="E33" s="372"/>
      <c r="F33" s="372"/>
      <c r="G33" s="372"/>
      <c r="H33" s="372"/>
      <c r="I33" s="372"/>
      <c r="J33" s="372"/>
      <c r="K33" s="372"/>
      <c r="L33" s="372"/>
      <c r="M33" s="372"/>
      <c r="N33" s="372"/>
      <c r="O33" s="372"/>
      <c r="P33" s="372"/>
      <c r="Q33" s="372"/>
      <c r="R33" s="372"/>
      <c r="S33" s="372"/>
    </row>
    <row r="34" spans="3:19" x14ac:dyDescent="0.25">
      <c r="C34" s="365"/>
      <c r="D34" s="365"/>
      <c r="E34" s="365"/>
      <c r="F34" s="365"/>
      <c r="G34" s="365"/>
      <c r="H34" s="365"/>
      <c r="I34" s="365"/>
      <c r="J34" s="365"/>
      <c r="K34" s="365"/>
      <c r="L34" s="365"/>
      <c r="M34" s="365"/>
      <c r="N34" s="365"/>
      <c r="O34" s="365"/>
      <c r="P34" s="365"/>
      <c r="Q34" s="365"/>
      <c r="R34" s="365"/>
      <c r="S34" s="365"/>
    </row>
    <row r="35" spans="3:19" x14ac:dyDescent="0.25">
      <c r="R35" s="136"/>
    </row>
  </sheetData>
  <mergeCells count="22">
    <mergeCell ref="C34:S34"/>
    <mergeCell ref="J5:J7"/>
    <mergeCell ref="L5:L7"/>
    <mergeCell ref="M5:M7"/>
    <mergeCell ref="N5:N7"/>
    <mergeCell ref="O5:O7"/>
    <mergeCell ref="P5:P8"/>
    <mergeCell ref="Q5:Q7"/>
    <mergeCell ref="R5:R7"/>
    <mergeCell ref="S5:S7"/>
    <mergeCell ref="C32:S32"/>
    <mergeCell ref="C33:S33"/>
    <mergeCell ref="B2:S2"/>
    <mergeCell ref="B4:B8"/>
    <mergeCell ref="C4:F4"/>
    <mergeCell ref="G4:L4"/>
    <mergeCell ref="M4:R4"/>
    <mergeCell ref="T4:T8"/>
    <mergeCell ref="D5:D6"/>
    <mergeCell ref="F5:F7"/>
    <mergeCell ref="G5:H6"/>
    <mergeCell ref="I5:I7"/>
  </mergeCells>
  <pageMargins left="0.73" right="0.31" top="0.74803149606299213" bottom="0.74803149606299213" header="0.31496062992125984" footer="0.31496062992125984"/>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Z59"/>
  <sheetViews>
    <sheetView zoomScale="80" zoomScaleNormal="80" workbookViewId="0">
      <selection activeCell="AB21" sqref="AB21"/>
    </sheetView>
  </sheetViews>
  <sheetFormatPr baseColWidth="10" defaultRowHeight="15" x14ac:dyDescent="0.2"/>
  <cols>
    <col min="1" max="1" width="18.77734375" customWidth="1"/>
    <col min="2" max="2" width="11.88671875" bestFit="1" customWidth="1"/>
    <col min="3" max="3" width="10.21875" customWidth="1"/>
    <col min="4" max="5" width="11.88671875" bestFit="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76"/>
      <c r="B1" s="376"/>
      <c r="C1" s="376"/>
      <c r="D1" s="376"/>
      <c r="E1" s="376"/>
      <c r="F1" s="376"/>
      <c r="G1" s="376"/>
      <c r="H1" s="376"/>
      <c r="I1" s="376"/>
      <c r="J1" s="75"/>
      <c r="K1" s="75"/>
      <c r="L1" s="75"/>
      <c r="M1" s="75"/>
      <c r="N1" s="75"/>
      <c r="O1" s="75"/>
      <c r="P1" s="75"/>
      <c r="Q1" s="75"/>
      <c r="R1" s="75"/>
      <c r="S1" s="75"/>
      <c r="T1" s="75"/>
      <c r="U1" s="75"/>
      <c r="V1" s="75"/>
      <c r="W1" s="75"/>
      <c r="X1" s="75"/>
      <c r="Y1" s="75"/>
      <c r="Z1" s="75"/>
    </row>
    <row r="2" spans="1:26" ht="15" customHeight="1" thickBot="1" x14ac:dyDescent="0.3">
      <c r="A2" s="377" t="s">
        <v>97</v>
      </c>
      <c r="B2" s="378"/>
      <c r="C2" s="378"/>
      <c r="D2" s="378"/>
      <c r="E2" s="378"/>
      <c r="F2" s="378"/>
      <c r="G2" s="378"/>
      <c r="H2" s="378"/>
      <c r="I2" s="379"/>
      <c r="J2" s="75"/>
      <c r="K2" s="75"/>
      <c r="L2" s="75"/>
      <c r="M2" s="75"/>
      <c r="N2" s="75"/>
      <c r="O2" s="75"/>
      <c r="P2" s="75"/>
      <c r="Q2" s="75"/>
      <c r="R2" s="75"/>
      <c r="S2" s="75"/>
      <c r="T2" s="75"/>
      <c r="U2" s="75"/>
      <c r="V2" s="75"/>
      <c r="W2" s="75"/>
      <c r="X2" s="75"/>
      <c r="Y2" s="75"/>
      <c r="Z2" s="75"/>
    </row>
    <row r="3" spans="1:26" ht="15" customHeight="1" thickBot="1" x14ac:dyDescent="0.3">
      <c r="A3" s="380" t="s">
        <v>98</v>
      </c>
      <c r="B3" s="359" t="s">
        <v>44</v>
      </c>
      <c r="C3" s="360"/>
      <c r="D3" s="361"/>
      <c r="E3" s="359" t="s">
        <v>45</v>
      </c>
      <c r="F3" s="360"/>
      <c r="G3" s="360"/>
      <c r="H3" s="361"/>
      <c r="I3" s="137"/>
      <c r="J3" s="75"/>
      <c r="K3" s="75"/>
      <c r="L3" s="75"/>
      <c r="M3" s="75"/>
      <c r="N3" s="75"/>
      <c r="O3" s="75"/>
      <c r="P3" s="75"/>
      <c r="Q3" s="75"/>
      <c r="R3" s="75"/>
      <c r="S3" s="75"/>
      <c r="T3" s="75"/>
      <c r="U3" s="75"/>
      <c r="V3" s="75"/>
      <c r="W3" s="75"/>
      <c r="X3" s="75"/>
      <c r="Y3" s="75"/>
      <c r="Z3" s="75"/>
    </row>
    <row r="4" spans="1:26" ht="15" customHeight="1" x14ac:dyDescent="0.25">
      <c r="A4" s="381"/>
      <c r="B4" s="138" t="s">
        <v>57</v>
      </c>
      <c r="C4" s="139" t="s">
        <v>58</v>
      </c>
      <c r="D4" s="140" t="s">
        <v>228</v>
      </c>
      <c r="E4" s="383" t="s">
        <v>226</v>
      </c>
      <c r="F4" s="384"/>
      <c r="G4" s="141" t="s">
        <v>99</v>
      </c>
      <c r="H4" s="385" t="s">
        <v>224</v>
      </c>
      <c r="I4" s="142" t="s">
        <v>100</v>
      </c>
      <c r="J4" s="75"/>
      <c r="K4" s="75"/>
      <c r="L4" s="75"/>
      <c r="M4" s="75"/>
      <c r="N4" s="75"/>
      <c r="O4" s="75"/>
      <c r="P4" s="75"/>
      <c r="Q4" s="75"/>
      <c r="R4" s="75"/>
      <c r="S4" s="75"/>
      <c r="T4" s="75"/>
      <c r="U4" s="75"/>
      <c r="V4" s="75"/>
      <c r="W4" s="75"/>
      <c r="X4" s="75"/>
      <c r="Y4" s="75"/>
      <c r="Z4" s="75"/>
    </row>
    <row r="5" spans="1:26" ht="16.5" thickBot="1" x14ac:dyDescent="0.3">
      <c r="A5" s="381"/>
      <c r="B5" s="138" t="s">
        <v>101</v>
      </c>
      <c r="C5" s="143" t="s">
        <v>102</v>
      </c>
      <c r="D5" s="144" t="s">
        <v>227</v>
      </c>
      <c r="E5" s="388">
        <v>2015</v>
      </c>
      <c r="F5" s="389"/>
      <c r="G5" s="144" t="s">
        <v>225</v>
      </c>
      <c r="H5" s="386"/>
      <c r="I5" s="145" t="s">
        <v>103</v>
      </c>
      <c r="J5" s="75"/>
      <c r="K5" s="75"/>
      <c r="L5" s="75"/>
      <c r="M5" s="75"/>
      <c r="N5" s="75"/>
      <c r="O5" s="75"/>
      <c r="P5" s="75"/>
      <c r="Q5" s="75"/>
      <c r="R5" s="75"/>
      <c r="S5" s="75"/>
      <c r="T5" s="75"/>
      <c r="U5" s="75"/>
      <c r="V5" s="75"/>
      <c r="W5" s="75"/>
      <c r="X5" s="75"/>
      <c r="Y5" s="75"/>
      <c r="Z5" s="75"/>
    </row>
    <row r="6" spans="1:26" ht="16.5" thickBot="1" x14ac:dyDescent="0.3">
      <c r="A6" s="381"/>
      <c r="B6" s="146" t="s">
        <v>229</v>
      </c>
      <c r="C6" s="147"/>
      <c r="D6" s="148" t="s">
        <v>104</v>
      </c>
      <c r="E6" s="149" t="s">
        <v>57</v>
      </c>
      <c r="F6" s="150" t="s">
        <v>58</v>
      </c>
      <c r="G6" s="148" t="s">
        <v>104</v>
      </c>
      <c r="H6" s="387"/>
      <c r="I6" s="146" t="s">
        <v>105</v>
      </c>
      <c r="J6" s="75"/>
      <c r="K6" s="75"/>
      <c r="L6" s="75"/>
      <c r="M6" s="75"/>
      <c r="N6" s="75"/>
      <c r="O6" s="75"/>
      <c r="P6" s="75"/>
      <c r="Q6" s="75"/>
      <c r="R6" s="75"/>
      <c r="S6" s="75"/>
      <c r="T6" s="75"/>
      <c r="U6" s="75"/>
      <c r="V6" s="75"/>
      <c r="W6" s="75"/>
      <c r="X6" s="75"/>
      <c r="Y6" s="75"/>
      <c r="Z6" s="75"/>
    </row>
    <row r="7" spans="1:26" ht="16.5" thickBot="1" x14ac:dyDescent="0.3">
      <c r="A7" s="382"/>
      <c r="B7" s="151" t="s">
        <v>59</v>
      </c>
      <c r="C7" s="152" t="s">
        <v>106</v>
      </c>
      <c r="D7" s="153" t="s">
        <v>107</v>
      </c>
      <c r="E7" s="154" t="s">
        <v>62</v>
      </c>
      <c r="F7" s="155" t="s">
        <v>63</v>
      </c>
      <c r="G7" s="153" t="s">
        <v>108</v>
      </c>
      <c r="H7" s="153" t="s">
        <v>109</v>
      </c>
      <c r="I7" s="156" t="s">
        <v>110</v>
      </c>
      <c r="J7" s="75"/>
      <c r="K7" s="75" t="s">
        <v>111</v>
      </c>
      <c r="L7" s="75" t="s">
        <v>112</v>
      </c>
      <c r="M7" s="75" t="s">
        <v>113</v>
      </c>
      <c r="N7" s="75" t="s">
        <v>111</v>
      </c>
      <c r="O7" s="75" t="s">
        <v>112</v>
      </c>
      <c r="P7" s="75" t="s">
        <v>113</v>
      </c>
      <c r="Q7" s="157" t="s">
        <v>114</v>
      </c>
      <c r="R7" s="157" t="s">
        <v>115</v>
      </c>
      <c r="S7" s="157" t="s">
        <v>116</v>
      </c>
      <c r="T7" s="157" t="s">
        <v>115</v>
      </c>
      <c r="U7" s="75"/>
      <c r="V7" s="75"/>
      <c r="W7" s="75"/>
      <c r="X7" s="75"/>
      <c r="Y7" s="75"/>
      <c r="Z7" s="75"/>
    </row>
    <row r="8" spans="1:26" ht="25.5" customHeight="1" x14ac:dyDescent="0.25">
      <c r="A8" s="158" t="s">
        <v>75</v>
      </c>
      <c r="B8" s="159">
        <f>'CENSO (2)'!C10</f>
        <v>36572</v>
      </c>
      <c r="C8" s="160">
        <f t="shared" ref="C8:C28" si="0">B8/B$28*100</f>
        <v>3.3707564846877225</v>
      </c>
      <c r="D8" s="161">
        <f>Datos!$L$27*FFM!C8/100</f>
        <v>-11067.963186384253</v>
      </c>
      <c r="E8" s="162">
        <f>Datos!S90</f>
        <v>9840850</v>
      </c>
      <c r="F8" s="163">
        <f>E8/E$28*100</f>
        <v>1.7082934235061225</v>
      </c>
      <c r="G8" s="162">
        <f>Datos!$L$28*FFM!F8/100</f>
        <v>-5609.2241634179409</v>
      </c>
      <c r="H8" s="164">
        <f>D8+G8</f>
        <v>-16677.187349802196</v>
      </c>
      <c r="I8" s="165" t="e">
        <f>D8+G8+#REF!</f>
        <v>#REF!</v>
      </c>
      <c r="J8" s="166">
        <f t="shared" ref="J8:J27" si="1">C8+F8</f>
        <v>5.0790499081938449</v>
      </c>
      <c r="K8" s="166">
        <f>J8/2</f>
        <v>2.5395249540969225</v>
      </c>
      <c r="L8" s="166">
        <f>2.480738</f>
        <v>2.4807380000000001</v>
      </c>
      <c r="M8" s="167">
        <f>K8-L8</f>
        <v>5.8786954096922361E-2</v>
      </c>
      <c r="N8" s="166" t="e">
        <f>#REF!</f>
        <v>#REF!</v>
      </c>
      <c r="O8" s="75"/>
      <c r="P8" s="166" t="e">
        <f>N8-O8</f>
        <v>#REF!</v>
      </c>
      <c r="Q8" s="157">
        <v>3.3898570000000001</v>
      </c>
      <c r="R8" s="168">
        <f>K8-Q8</f>
        <v>-0.85033204590307765</v>
      </c>
      <c r="S8" s="157"/>
      <c r="T8" s="157"/>
      <c r="U8" s="75"/>
      <c r="V8" s="75"/>
      <c r="W8" s="75"/>
      <c r="X8" s="75"/>
      <c r="Y8" s="166"/>
      <c r="Z8" s="166"/>
    </row>
    <row r="9" spans="1:26" ht="25.5" customHeight="1" x14ac:dyDescent="0.25">
      <c r="A9" s="158" t="s">
        <v>76</v>
      </c>
      <c r="B9" s="159">
        <f>'CENSO (2)'!C11</f>
        <v>15229</v>
      </c>
      <c r="C9" s="160">
        <f t="shared" si="0"/>
        <v>1.4036216369164749</v>
      </c>
      <c r="D9" s="161">
        <f>Datos!$L$27*FFM!C9/100</f>
        <v>-4608.8267353561687</v>
      </c>
      <c r="E9" s="162">
        <f>Datos!S91</f>
        <v>3790321</v>
      </c>
      <c r="F9" s="163">
        <f t="shared" ref="F9:F27" si="2">E9/E$28*100</f>
        <v>0.65796963039545864</v>
      </c>
      <c r="G9" s="162">
        <f>Datos!$L$28*FFM!F9/100</f>
        <v>-2160.4597306442483</v>
      </c>
      <c r="H9" s="164">
        <f t="shared" ref="H9:H27" si="3">D9+G9</f>
        <v>-6769.286466000417</v>
      </c>
      <c r="I9" s="165" t="e">
        <f>D9+G9+#REF!</f>
        <v>#REF!</v>
      </c>
      <c r="J9" s="166">
        <f t="shared" si="1"/>
        <v>2.0615912673119334</v>
      </c>
      <c r="K9" s="166">
        <f t="shared" ref="K9:K28" si="4">J9/2</f>
        <v>1.0307956336559667</v>
      </c>
      <c r="L9" s="166">
        <v>1.0658129999999999</v>
      </c>
      <c r="M9" s="167">
        <f t="shared" ref="M9:M27" si="5">K9-L9</f>
        <v>-3.5017366344033185E-2</v>
      </c>
      <c r="N9" s="166" t="e">
        <f>#REF!</f>
        <v>#REF!</v>
      </c>
      <c r="O9" s="75"/>
      <c r="P9" s="166" t="e">
        <f t="shared" ref="P9:P27" si="6">N9-O9</f>
        <v>#REF!</v>
      </c>
      <c r="Q9" s="157">
        <v>1.4561059999999999</v>
      </c>
      <c r="R9" s="168">
        <f t="shared" ref="R9:R27" si="7">K9-Q9</f>
        <v>-0.42531036634403319</v>
      </c>
      <c r="S9" s="157"/>
      <c r="T9" s="157"/>
      <c r="U9" s="75"/>
      <c r="V9" s="75"/>
      <c r="W9" s="75"/>
      <c r="X9" s="75"/>
      <c r="Y9" s="166"/>
      <c r="Z9" s="166"/>
    </row>
    <row r="10" spans="1:26" ht="25.5" customHeight="1" x14ac:dyDescent="0.25">
      <c r="A10" s="158" t="s">
        <v>77</v>
      </c>
      <c r="B10" s="159">
        <f>'CENSO (2)'!C12</f>
        <v>11188</v>
      </c>
      <c r="C10" s="160">
        <f t="shared" si="0"/>
        <v>1.0311720319010782</v>
      </c>
      <c r="D10" s="161">
        <f>Datos!$L$27*FFM!C10/100</f>
        <v>-3385.8791460479879</v>
      </c>
      <c r="E10" s="162">
        <f>Datos!S92</f>
        <v>3689187</v>
      </c>
      <c r="F10" s="163">
        <f t="shared" si="2"/>
        <v>0.64041357100090757</v>
      </c>
      <c r="G10" s="162">
        <f>Datos!$L$28*FFM!F10/100</f>
        <v>-2102.8139707207547</v>
      </c>
      <c r="H10" s="164">
        <f t="shared" si="3"/>
        <v>-5488.6931167687426</v>
      </c>
      <c r="I10" s="165" t="e">
        <f>D10+G10+#REF!</f>
        <v>#REF!</v>
      </c>
      <c r="J10" s="166">
        <f t="shared" si="1"/>
        <v>1.6715856029019858</v>
      </c>
      <c r="K10" s="166">
        <f t="shared" si="4"/>
        <v>0.83579280145099288</v>
      </c>
      <c r="L10" s="166">
        <v>0.85747200000000001</v>
      </c>
      <c r="M10" s="167">
        <f t="shared" si="5"/>
        <v>-2.1679198549007128E-2</v>
      </c>
      <c r="N10" s="166" t="e">
        <f>#REF!</f>
        <v>#REF!</v>
      </c>
      <c r="O10" s="75"/>
      <c r="P10" s="166" t="e">
        <f t="shared" si="6"/>
        <v>#REF!</v>
      </c>
      <c r="Q10" s="157">
        <v>1.167629</v>
      </c>
      <c r="R10" s="168">
        <f t="shared" si="7"/>
        <v>-0.33183619854900714</v>
      </c>
      <c r="S10" s="157"/>
      <c r="T10" s="157"/>
      <c r="U10" s="75"/>
      <c r="V10" s="75"/>
      <c r="W10" s="75"/>
      <c r="X10" s="75"/>
      <c r="Y10" s="166"/>
      <c r="Z10" s="166"/>
    </row>
    <row r="11" spans="1:26" ht="25.5" customHeight="1" x14ac:dyDescent="0.25">
      <c r="A11" s="158" t="s">
        <v>78</v>
      </c>
      <c r="B11" s="159">
        <f>'CENSO (2)'!C13</f>
        <v>124205</v>
      </c>
      <c r="C11" s="160">
        <f t="shared" si="0"/>
        <v>11.447687005923617</v>
      </c>
      <c r="D11" s="161">
        <f>Datos!$L$27*FFM!C11/100</f>
        <v>-37588.766476125347</v>
      </c>
      <c r="E11" s="162">
        <f>Datos!S93</f>
        <v>200100586</v>
      </c>
      <c r="F11" s="163">
        <f t="shared" si="2"/>
        <v>34.735872928001264</v>
      </c>
      <c r="G11" s="162">
        <f>Datos!$L$28*FFM!F11/100</f>
        <v>-114056.10715591535</v>
      </c>
      <c r="H11" s="164">
        <f t="shared" si="3"/>
        <v>-151644.87363204069</v>
      </c>
      <c r="I11" s="165" t="e">
        <f>D11+G11+#REF!</f>
        <v>#REF!</v>
      </c>
      <c r="J11" s="166">
        <f t="shared" si="1"/>
        <v>46.183559933924883</v>
      </c>
      <c r="K11" s="166">
        <f t="shared" si="4"/>
        <v>23.091779966962442</v>
      </c>
      <c r="L11" s="166">
        <v>26.514603000000001</v>
      </c>
      <c r="M11" s="167">
        <f t="shared" si="5"/>
        <v>-3.4228230330375595</v>
      </c>
      <c r="N11" s="166" t="e">
        <f>#REF!</f>
        <v>#REF!</v>
      </c>
      <c r="O11" s="75"/>
      <c r="P11" s="166" t="e">
        <f t="shared" si="6"/>
        <v>#REF!</v>
      </c>
      <c r="Q11" s="157">
        <v>39.874909000000002</v>
      </c>
      <c r="R11" s="168">
        <f t="shared" si="7"/>
        <v>-16.783129033037561</v>
      </c>
      <c r="S11" s="157"/>
      <c r="T11" s="157"/>
      <c r="U11" s="75"/>
      <c r="V11" s="75"/>
      <c r="W11" s="75"/>
      <c r="X11" s="75"/>
      <c r="Y11" s="166"/>
      <c r="Z11" s="166"/>
    </row>
    <row r="12" spans="1:26" ht="25.5" customHeight="1" x14ac:dyDescent="0.25">
      <c r="A12" s="158" t="s">
        <v>79</v>
      </c>
      <c r="B12" s="159">
        <f>'CENSO (2)'!C14</f>
        <v>70399</v>
      </c>
      <c r="C12" s="160">
        <f t="shared" si="0"/>
        <v>6.4885126808905982</v>
      </c>
      <c r="D12" s="161">
        <f>Datos!$L$27*FFM!C12/100</f>
        <v>-21305.193600521303</v>
      </c>
      <c r="E12" s="162">
        <f>Datos!S94</f>
        <v>38608461</v>
      </c>
      <c r="F12" s="163">
        <f t="shared" si="2"/>
        <v>6.702122277851263</v>
      </c>
      <c r="G12" s="162">
        <f>Datos!$L$28*FFM!F12/100</f>
        <v>-22006.586052381568</v>
      </c>
      <c r="H12" s="164">
        <f t="shared" si="3"/>
        <v>-43311.779652902871</v>
      </c>
      <c r="I12" s="165" t="e">
        <f>D12+G12+#REF!</f>
        <v>#REF!</v>
      </c>
      <c r="J12" s="166">
        <f t="shared" si="1"/>
        <v>13.19063495874186</v>
      </c>
      <c r="K12" s="166">
        <f t="shared" si="4"/>
        <v>6.5953174793709302</v>
      </c>
      <c r="L12" s="166">
        <v>5.371861</v>
      </c>
      <c r="M12" s="167">
        <f t="shared" si="5"/>
        <v>1.2234564793709302</v>
      </c>
      <c r="N12" s="166" t="e">
        <f>#REF!</f>
        <v>#REF!</v>
      </c>
      <c r="O12" s="75"/>
      <c r="P12" s="166" t="e">
        <f t="shared" si="6"/>
        <v>#REF!</v>
      </c>
      <c r="Q12" s="157">
        <v>7.3199050000000003</v>
      </c>
      <c r="R12" s="168">
        <f t="shared" si="7"/>
        <v>-0.72458752062907017</v>
      </c>
      <c r="S12" s="157"/>
      <c r="T12" s="157"/>
      <c r="U12" s="75"/>
      <c r="V12" s="75"/>
      <c r="W12" s="75"/>
      <c r="X12" s="75"/>
      <c r="Y12" s="166"/>
      <c r="Z12" s="166"/>
    </row>
    <row r="13" spans="1:26" s="104" customFormat="1" ht="25.5" customHeight="1" x14ac:dyDescent="0.25">
      <c r="A13" s="158" t="s">
        <v>80</v>
      </c>
      <c r="B13" s="159">
        <f>'CENSO (2)'!C15</f>
        <v>34300</v>
      </c>
      <c r="C13" s="160">
        <f t="shared" si="0"/>
        <v>3.1613515100292262</v>
      </c>
      <c r="D13" s="161">
        <f>Datos!$L$27*FFM!C13/100</f>
        <v>-10380.376716968714</v>
      </c>
      <c r="E13" s="162">
        <f>Datos!S95</f>
        <v>56558</v>
      </c>
      <c r="F13" s="163">
        <f t="shared" si="2"/>
        <v>9.8180197286473498E-3</v>
      </c>
      <c r="G13" s="162">
        <f>Datos!$L$28*FFM!F13/100</f>
        <v>-32.237713229506788</v>
      </c>
      <c r="H13" s="164">
        <f t="shared" si="3"/>
        <v>-10412.61443019822</v>
      </c>
      <c r="I13" s="169" t="e">
        <f>D13+G13+#REF!</f>
        <v>#REF!</v>
      </c>
      <c r="J13" s="103">
        <f t="shared" si="1"/>
        <v>3.1711695297578735</v>
      </c>
      <c r="K13" s="103">
        <f t="shared" si="4"/>
        <v>1.5855847648789367</v>
      </c>
      <c r="L13" s="103">
        <v>1.826878</v>
      </c>
      <c r="M13" s="170">
        <f t="shared" si="5"/>
        <v>-0.24129323512106327</v>
      </c>
      <c r="N13" s="103" t="e">
        <f>#REF!</f>
        <v>#REF!</v>
      </c>
      <c r="O13" s="104">
        <v>0.35585699999999998</v>
      </c>
      <c r="P13" s="103" t="e">
        <f t="shared" si="6"/>
        <v>#REF!</v>
      </c>
      <c r="Q13" s="171">
        <v>2.5551330000000001</v>
      </c>
      <c r="R13" s="172">
        <f t="shared" si="7"/>
        <v>-0.96954823512106336</v>
      </c>
      <c r="S13" s="171">
        <v>16.147120999999999</v>
      </c>
      <c r="T13" s="171">
        <f>O13-S13</f>
        <v>-15.791263999999998</v>
      </c>
      <c r="Y13" s="166"/>
      <c r="Z13" s="166"/>
    </row>
    <row r="14" spans="1:26" s="104" customFormat="1" ht="25.5" customHeight="1" x14ac:dyDescent="0.25">
      <c r="A14" s="158" t="s">
        <v>81</v>
      </c>
      <c r="B14" s="159">
        <f>'CENSO (2)'!C16</f>
        <v>11400</v>
      </c>
      <c r="C14" s="160">
        <f t="shared" si="0"/>
        <v>1.050711580592804</v>
      </c>
      <c r="D14" s="161">
        <f>Datos!$L$27*FFM!C14/100</f>
        <v>-3450.037742665987</v>
      </c>
      <c r="E14" s="162">
        <f>Datos!S96</f>
        <v>81890</v>
      </c>
      <c r="F14" s="163">
        <f t="shared" si="2"/>
        <v>1.421545379219441E-2</v>
      </c>
      <c r="G14" s="162">
        <f>Datos!$L$28*FFM!F14/100</f>
        <v>-46.67679791301515</v>
      </c>
      <c r="H14" s="164">
        <f t="shared" si="3"/>
        <v>-3496.714540579002</v>
      </c>
      <c r="I14" s="169" t="e">
        <f>D14+G14+#REF!</f>
        <v>#REF!</v>
      </c>
      <c r="J14" s="103">
        <f t="shared" si="1"/>
        <v>1.0649270343849984</v>
      </c>
      <c r="K14" s="103">
        <f t="shared" si="4"/>
        <v>0.53246351719249918</v>
      </c>
      <c r="L14" s="103">
        <v>0.53989200000000004</v>
      </c>
      <c r="M14" s="170">
        <f t="shared" si="5"/>
        <v>-7.428482807500858E-3</v>
      </c>
      <c r="N14" s="103" t="e">
        <f>#REF!</f>
        <v>#REF!</v>
      </c>
      <c r="O14" s="104">
        <v>0.19699800000000001</v>
      </c>
      <c r="P14" s="103" t="e">
        <f t="shared" si="6"/>
        <v>#REF!</v>
      </c>
      <c r="Q14" s="171">
        <v>0.75530600000000003</v>
      </c>
      <c r="R14" s="172">
        <f t="shared" si="7"/>
        <v>-0.22284248280750085</v>
      </c>
      <c r="S14" s="171">
        <v>4.7731430000000001</v>
      </c>
      <c r="T14" s="171">
        <f t="shared" ref="T14:T26" si="8">O14-S14</f>
        <v>-4.5761450000000004</v>
      </c>
      <c r="Y14" s="166"/>
      <c r="Z14" s="166"/>
    </row>
    <row r="15" spans="1:26" s="104" customFormat="1" ht="25.5" customHeight="1" x14ac:dyDescent="0.25">
      <c r="A15" s="158" t="s">
        <v>82</v>
      </c>
      <c r="B15" s="159">
        <f>'CENSO (2)'!C17</f>
        <v>27273</v>
      </c>
      <c r="C15" s="160">
        <f t="shared" si="0"/>
        <v>2.5136892050445216</v>
      </c>
      <c r="D15" s="161">
        <f>Datos!$L$27*FFM!C15/100</f>
        <v>-8253.7613469938133</v>
      </c>
      <c r="E15" s="162">
        <f>Datos!S97</f>
        <v>9310961</v>
      </c>
      <c r="F15" s="163">
        <f t="shared" si="2"/>
        <v>1.6163089004325832</v>
      </c>
      <c r="G15" s="162">
        <f>Datos!$L$28*FFM!F15/100</f>
        <v>-5307.1906822928986</v>
      </c>
      <c r="H15" s="164">
        <f t="shared" si="3"/>
        <v>-13560.952029286713</v>
      </c>
      <c r="I15" s="165" t="e">
        <f>D15+G15+#REF!</f>
        <v>#REF!</v>
      </c>
      <c r="J15" s="103">
        <f t="shared" si="1"/>
        <v>4.1299981054771049</v>
      </c>
      <c r="K15" s="103">
        <f t="shared" si="4"/>
        <v>2.0649990527385524</v>
      </c>
      <c r="L15" s="103">
        <v>2.598125</v>
      </c>
      <c r="M15" s="170">
        <f t="shared" si="5"/>
        <v>-0.53312594726144757</v>
      </c>
      <c r="N15" s="103" t="e">
        <f>#REF!</f>
        <v>#REF!</v>
      </c>
      <c r="P15" s="103" t="e">
        <f t="shared" si="6"/>
        <v>#REF!</v>
      </c>
      <c r="Q15" s="171">
        <v>3.512527</v>
      </c>
      <c r="R15" s="172">
        <f t="shared" si="7"/>
        <v>-1.4475279472614475</v>
      </c>
      <c r="S15" s="171"/>
      <c r="T15" s="171">
        <f t="shared" si="8"/>
        <v>0</v>
      </c>
      <c r="Y15" s="103"/>
      <c r="Z15" s="166"/>
    </row>
    <row r="16" spans="1:26" s="104" customFormat="1" ht="25.5" customHeight="1" x14ac:dyDescent="0.25">
      <c r="A16" s="158" t="s">
        <v>83</v>
      </c>
      <c r="B16" s="159">
        <f>'CENSO (2)'!C18</f>
        <v>17698</v>
      </c>
      <c r="C16" s="160">
        <f t="shared" si="0"/>
        <v>1.6311836450290742</v>
      </c>
      <c r="D16" s="161">
        <f>Datos!$L$27*FFM!C16/100</f>
        <v>-5356.0322780440911</v>
      </c>
      <c r="E16" s="162">
        <f>Datos!S98</f>
        <v>3182383</v>
      </c>
      <c r="F16" s="163">
        <f t="shared" si="2"/>
        <v>0.55243642063212872</v>
      </c>
      <c r="G16" s="162">
        <f>Datos!$L$28*FFM!F16/100</f>
        <v>-1813.9387980561105</v>
      </c>
      <c r="H16" s="164">
        <f t="shared" si="3"/>
        <v>-7169.9710761002016</v>
      </c>
      <c r="I16" s="165" t="e">
        <f>D16+G16+#REF!</f>
        <v>#REF!</v>
      </c>
      <c r="J16" s="103">
        <f t="shared" si="1"/>
        <v>2.183620065661203</v>
      </c>
      <c r="K16" s="103">
        <f t="shared" si="4"/>
        <v>1.0918100328306015</v>
      </c>
      <c r="L16" s="103">
        <v>1.1819949999999999</v>
      </c>
      <c r="M16" s="170">
        <f t="shared" si="5"/>
        <v>-9.0184967169398389E-2</v>
      </c>
      <c r="N16" s="103" t="e">
        <f>#REF!</f>
        <v>#REF!</v>
      </c>
      <c r="P16" s="103" t="e">
        <f t="shared" si="6"/>
        <v>#REF!</v>
      </c>
      <c r="Q16" s="171">
        <v>1.6183019999999999</v>
      </c>
      <c r="R16" s="172">
        <f t="shared" si="7"/>
        <v>-0.52649196716939839</v>
      </c>
      <c r="S16" s="171"/>
      <c r="T16" s="171">
        <f t="shared" si="8"/>
        <v>0</v>
      </c>
      <c r="Y16" s="166"/>
      <c r="Z16" s="166"/>
    </row>
    <row r="17" spans="1:26" s="104" customFormat="1" ht="25.5" customHeight="1" x14ac:dyDescent="0.25">
      <c r="A17" s="158" t="s">
        <v>84</v>
      </c>
      <c r="B17" s="159">
        <f>'CENSO (2)'!C19</f>
        <v>13600</v>
      </c>
      <c r="C17" s="160">
        <f t="shared" si="0"/>
        <v>1.2534804821107137</v>
      </c>
      <c r="D17" s="161">
        <f>Datos!$L$27*FFM!C17/100</f>
        <v>-4115.8345000225809</v>
      </c>
      <c r="E17" s="162">
        <f>Datos!S99</f>
        <v>581941</v>
      </c>
      <c r="F17" s="163">
        <f t="shared" si="2"/>
        <v>0.10102033697989261</v>
      </c>
      <c r="G17" s="162">
        <f>Datos!$L$28*FFM!F17/100</f>
        <v>-331.70280198190187</v>
      </c>
      <c r="H17" s="164">
        <f t="shared" si="3"/>
        <v>-4447.5373020044826</v>
      </c>
      <c r="I17" s="165" t="e">
        <f>D17+G17+#REF!</f>
        <v>#REF!</v>
      </c>
      <c r="J17" s="103">
        <f t="shared" si="1"/>
        <v>1.3545008190906063</v>
      </c>
      <c r="K17" s="103">
        <f t="shared" si="4"/>
        <v>0.67725040954530313</v>
      </c>
      <c r="L17" s="103">
        <v>0.66424499999999997</v>
      </c>
      <c r="M17" s="170">
        <v>9.9999999999999995E-7</v>
      </c>
      <c r="N17" s="103" t="e">
        <f>#REF!</f>
        <v>#REF!</v>
      </c>
      <c r="P17" s="103" t="e">
        <f t="shared" si="6"/>
        <v>#REF!</v>
      </c>
      <c r="Q17" s="171">
        <v>0.92457</v>
      </c>
      <c r="R17" s="172">
        <f t="shared" si="7"/>
        <v>-0.24731959045469687</v>
      </c>
      <c r="S17" s="171"/>
      <c r="T17" s="171">
        <f t="shared" si="8"/>
        <v>0</v>
      </c>
      <c r="Y17" s="166"/>
      <c r="Z17" s="166"/>
    </row>
    <row r="18" spans="1:26" s="104" customFormat="1" ht="25.5" customHeight="1" x14ac:dyDescent="0.25">
      <c r="A18" s="158" t="s">
        <v>85</v>
      </c>
      <c r="B18" s="159">
        <f>'CENSO (2)'!C20</f>
        <v>34393</v>
      </c>
      <c r="C18" s="160">
        <f t="shared" si="0"/>
        <v>3.1699231045024834</v>
      </c>
      <c r="D18" s="161">
        <f>Datos!$L$27*FFM!C18/100</f>
        <v>-10408.521761711518</v>
      </c>
      <c r="E18" s="162">
        <f>Datos!S100</f>
        <v>2120104</v>
      </c>
      <c r="F18" s="163">
        <f t="shared" si="2"/>
        <v>0.36803322074302769</v>
      </c>
      <c r="G18" s="162">
        <f>Datos!$L$28*FFM!F18/100</f>
        <v>-1208.44628114025</v>
      </c>
      <c r="H18" s="164">
        <f t="shared" si="3"/>
        <v>-11616.968042851768</v>
      </c>
      <c r="I18" s="169" t="e">
        <f>D18+G18+#REF!</f>
        <v>#REF!</v>
      </c>
      <c r="J18" s="103">
        <f t="shared" si="1"/>
        <v>3.5379563252455108</v>
      </c>
      <c r="K18" s="103">
        <f t="shared" si="4"/>
        <v>1.7689781626227554</v>
      </c>
      <c r="L18" s="103">
        <v>1.606241</v>
      </c>
      <c r="M18" s="170">
        <f t="shared" si="5"/>
        <v>0.16273716262275539</v>
      </c>
      <c r="N18" s="103" t="e">
        <f>#REF!</f>
        <v>#REF!</v>
      </c>
      <c r="O18" s="104">
        <v>16.427489000000001</v>
      </c>
      <c r="P18" s="103" t="e">
        <f t="shared" si="6"/>
        <v>#REF!</v>
      </c>
      <c r="Q18" s="171">
        <v>2.2329530000000002</v>
      </c>
      <c r="R18" s="172">
        <f t="shared" si="7"/>
        <v>-0.46397483737724476</v>
      </c>
      <c r="S18" s="171">
        <v>14.111107000000001</v>
      </c>
      <c r="T18" s="171">
        <f t="shared" si="8"/>
        <v>2.3163820000000008</v>
      </c>
      <c r="Y18" s="166"/>
      <c r="Z18" s="166"/>
    </row>
    <row r="19" spans="1:26" s="104" customFormat="1" ht="25.5" customHeight="1" x14ac:dyDescent="0.25">
      <c r="A19" s="158" t="s">
        <v>86</v>
      </c>
      <c r="B19" s="159">
        <f>'CENSO (2)'!C21</f>
        <v>23469</v>
      </c>
      <c r="C19" s="160">
        <f t="shared" si="0"/>
        <v>2.1630833407835541</v>
      </c>
      <c r="D19" s="161">
        <f>Datos!$L$27*FFM!C19/100</f>
        <v>-7102.5382265463195</v>
      </c>
      <c r="E19" s="162">
        <f>Datos!S101</f>
        <v>6139057</v>
      </c>
      <c r="F19" s="163">
        <f t="shared" si="2"/>
        <v>1.0656915509970404</v>
      </c>
      <c r="G19" s="162">
        <f>Datos!$L$28*FFM!F19/100</f>
        <v>-3499.2248499875568</v>
      </c>
      <c r="H19" s="164">
        <f t="shared" si="3"/>
        <v>-10601.763076533876</v>
      </c>
      <c r="I19" s="165" t="e">
        <f>D19+G19+#REF!</f>
        <v>#REF!</v>
      </c>
      <c r="J19" s="103">
        <f t="shared" si="1"/>
        <v>3.2287748917805947</v>
      </c>
      <c r="K19" s="103">
        <f t="shared" si="4"/>
        <v>1.6143874458902974</v>
      </c>
      <c r="L19" s="103">
        <v>1.225519</v>
      </c>
      <c r="M19" s="170">
        <f t="shared" si="5"/>
        <v>0.38886844589029734</v>
      </c>
      <c r="N19" s="103" t="e">
        <f>#REF!</f>
        <v>#REF!</v>
      </c>
      <c r="P19" s="103" t="e">
        <f t="shared" si="6"/>
        <v>#REF!</v>
      </c>
      <c r="Q19" s="171">
        <v>1.699298</v>
      </c>
      <c r="R19" s="172">
        <f t="shared" si="7"/>
        <v>-8.4910554109702607E-2</v>
      </c>
      <c r="S19" s="171"/>
      <c r="T19" s="171">
        <f t="shared" si="8"/>
        <v>0</v>
      </c>
      <c r="Y19" s="166"/>
      <c r="Z19" s="166"/>
    </row>
    <row r="20" spans="1:26" s="104" customFormat="1" ht="25.5" customHeight="1" x14ac:dyDescent="0.25">
      <c r="A20" s="158" t="s">
        <v>87</v>
      </c>
      <c r="B20" s="159">
        <f>'CENSO (2)'!C22</f>
        <v>43120</v>
      </c>
      <c r="C20" s="160">
        <f t="shared" si="0"/>
        <v>3.9742704697510276</v>
      </c>
      <c r="D20" s="161">
        <f>Datos!$L$27*FFM!C20/100</f>
        <v>-13049.616444189243</v>
      </c>
      <c r="E20" s="162">
        <f>Datos!S102</f>
        <v>4353377</v>
      </c>
      <c r="F20" s="163">
        <f t="shared" si="2"/>
        <v>0.75571168132252931</v>
      </c>
      <c r="G20" s="162">
        <f>Datos!$L$28*FFM!F20/100</f>
        <v>-2481.398198414558</v>
      </c>
      <c r="H20" s="164">
        <f t="shared" si="3"/>
        <v>-15531.014642603801</v>
      </c>
      <c r="I20" s="165" t="e">
        <f>D20+G20+#REF!</f>
        <v>#REF!</v>
      </c>
      <c r="J20" s="103">
        <f t="shared" si="1"/>
        <v>4.7299821510735569</v>
      </c>
      <c r="K20" s="103">
        <f t="shared" si="4"/>
        <v>2.3649910755367785</v>
      </c>
      <c r="L20" s="103">
        <v>2.2379220000000002</v>
      </c>
      <c r="M20" s="170">
        <f t="shared" si="5"/>
        <v>0.12706907553677826</v>
      </c>
      <c r="N20" s="103" t="e">
        <f>#REF!</f>
        <v>#REF!</v>
      </c>
      <c r="P20" s="103" t="e">
        <f t="shared" si="6"/>
        <v>#REF!</v>
      </c>
      <c r="Q20" s="171">
        <v>3.0983839999999998</v>
      </c>
      <c r="R20" s="172">
        <f t="shared" si="7"/>
        <v>-0.73339292446322135</v>
      </c>
      <c r="S20" s="171"/>
      <c r="T20" s="171">
        <f t="shared" si="8"/>
        <v>0</v>
      </c>
      <c r="Y20" s="166"/>
      <c r="Z20" s="166"/>
    </row>
    <row r="21" spans="1:26" s="104" customFormat="1" ht="25.5" customHeight="1" x14ac:dyDescent="0.25">
      <c r="A21" s="158" t="s">
        <v>88</v>
      </c>
      <c r="B21" s="159">
        <f>'CENSO (2)'!C23</f>
        <v>7510</v>
      </c>
      <c r="C21" s="160">
        <f t="shared" si="0"/>
        <v>0.69217929563613667</v>
      </c>
      <c r="D21" s="161">
        <f>Datos!$L$27*FFM!C21/100</f>
        <v>-2272.7880217036454</v>
      </c>
      <c r="E21" s="162">
        <f>Datos!S103</f>
        <v>1276066</v>
      </c>
      <c r="F21" s="163">
        <f t="shared" si="2"/>
        <v>0.22151492561717367</v>
      </c>
      <c r="G21" s="162">
        <f>Datos!$L$28*FFM!F21/100</f>
        <v>-727.34979613713017</v>
      </c>
      <c r="H21" s="164">
        <f t="shared" si="3"/>
        <v>-3000.1378178407758</v>
      </c>
      <c r="I21" s="169" t="e">
        <f>D21+G21+#REF!</f>
        <v>#REF!</v>
      </c>
      <c r="J21" s="103">
        <f t="shared" si="1"/>
        <v>0.91369422125331035</v>
      </c>
      <c r="K21" s="103">
        <f t="shared" si="4"/>
        <v>0.45684711062665517</v>
      </c>
      <c r="L21" s="103">
        <v>0.43209399999999998</v>
      </c>
      <c r="M21" s="170">
        <f t="shared" si="5"/>
        <v>2.4753110626655195E-2</v>
      </c>
      <c r="N21" s="103" t="e">
        <f>#REF!</f>
        <v>#REF!</v>
      </c>
      <c r="O21" s="104">
        <v>11.183956</v>
      </c>
      <c r="P21" s="103" t="e">
        <f t="shared" si="6"/>
        <v>#REF!</v>
      </c>
      <c r="Q21" s="171">
        <v>0.59435300000000002</v>
      </c>
      <c r="R21" s="172">
        <f t="shared" si="7"/>
        <v>-0.13750588937334485</v>
      </c>
      <c r="S21" s="171">
        <v>3.7560030000000002</v>
      </c>
      <c r="T21" s="171">
        <f t="shared" si="8"/>
        <v>7.4279530000000005</v>
      </c>
      <c r="Y21" s="166"/>
      <c r="Z21" s="166"/>
    </row>
    <row r="22" spans="1:26" s="104" customFormat="1" ht="25.5" customHeight="1" x14ac:dyDescent="0.25">
      <c r="A22" s="158" t="s">
        <v>89</v>
      </c>
      <c r="B22" s="159">
        <f>'CENSO (2)'!C24</f>
        <v>22412</v>
      </c>
      <c r="C22" s="160">
        <f t="shared" si="0"/>
        <v>2.0656621003724496</v>
      </c>
      <c r="D22" s="161">
        <f>Datos!$L$27*FFM!C22/100</f>
        <v>-6782.6531481254469</v>
      </c>
      <c r="E22" s="162">
        <f>Datos!S104</f>
        <v>2538386</v>
      </c>
      <c r="F22" s="163">
        <f t="shared" si="2"/>
        <v>0.44064365477778972</v>
      </c>
      <c r="G22" s="162">
        <f>Datos!$L$28*FFM!F22/100</f>
        <v>-1446.864456554242</v>
      </c>
      <c r="H22" s="164">
        <f t="shared" si="3"/>
        <v>-8229.5176046796896</v>
      </c>
      <c r="I22" s="165" t="e">
        <f>D22+G22+#REF!</f>
        <v>#REF!</v>
      </c>
      <c r="J22" s="103">
        <f t="shared" si="1"/>
        <v>2.5063057551502395</v>
      </c>
      <c r="K22" s="103">
        <f t="shared" si="4"/>
        <v>1.2531528775751197</v>
      </c>
      <c r="L22" s="103">
        <v>1.3994949999999999</v>
      </c>
      <c r="M22" s="170">
        <f t="shared" si="5"/>
        <v>-0.14634212242488021</v>
      </c>
      <c r="N22" s="103" t="e">
        <f>#REF!</f>
        <v>#REF!</v>
      </c>
      <c r="P22" s="103" t="e">
        <f t="shared" si="6"/>
        <v>#REF!</v>
      </c>
      <c r="Q22" s="171">
        <v>1.921861</v>
      </c>
      <c r="R22" s="172">
        <f t="shared" si="7"/>
        <v>-0.66870812242488031</v>
      </c>
      <c r="S22" s="171"/>
      <c r="T22" s="171">
        <f t="shared" si="8"/>
        <v>0</v>
      </c>
      <c r="Y22" s="166"/>
      <c r="Z22" s="166"/>
    </row>
    <row r="23" spans="1:26" s="104" customFormat="1" ht="25.5" customHeight="1" x14ac:dyDescent="0.25">
      <c r="A23" s="158" t="s">
        <v>90</v>
      </c>
      <c r="B23" s="159">
        <f>'CENSO (2)'!C25</f>
        <v>93074</v>
      </c>
      <c r="C23" s="160">
        <f t="shared" si="0"/>
        <v>8.5784148817626882</v>
      </c>
      <c r="D23" s="161">
        <f>Datos!$L$27*FFM!C23/100</f>
        <v>-28167.439724639829</v>
      </c>
      <c r="E23" s="162">
        <f>Datos!S105</f>
        <v>12549885</v>
      </c>
      <c r="F23" s="163">
        <f t="shared" si="2"/>
        <v>2.1785603897283399</v>
      </c>
      <c r="G23" s="162">
        <f>Datos!$L$28*FFM!F23/100</f>
        <v>-7153.3575036827478</v>
      </c>
      <c r="H23" s="164">
        <f t="shared" si="3"/>
        <v>-35320.797228322575</v>
      </c>
      <c r="I23" s="169" t="e">
        <f>D23+G23+#REF!</f>
        <v>#REF!</v>
      </c>
      <c r="J23" s="103">
        <f t="shared" si="1"/>
        <v>10.756975271491028</v>
      </c>
      <c r="K23" s="103">
        <f t="shared" si="4"/>
        <v>5.3784876357455138</v>
      </c>
      <c r="L23" s="103">
        <v>5.5728949999999999</v>
      </c>
      <c r="M23" s="170">
        <f t="shared" si="5"/>
        <v>-0.19440736425448613</v>
      </c>
      <c r="N23" s="103" t="e">
        <f>#REF!</f>
        <v>#REF!</v>
      </c>
      <c r="O23" s="104">
        <v>59.916367999999999</v>
      </c>
      <c r="P23" s="103" t="e">
        <f t="shared" si="6"/>
        <v>#REF!</v>
      </c>
      <c r="Q23" s="171">
        <v>7.6699279999999996</v>
      </c>
      <c r="R23" s="172">
        <f t="shared" si="7"/>
        <v>-2.2914403642544858</v>
      </c>
      <c r="S23" s="171">
        <v>48.469971999999999</v>
      </c>
      <c r="T23" s="171">
        <f t="shared" si="8"/>
        <v>11.446396</v>
      </c>
      <c r="Y23" s="166"/>
      <c r="Z23" s="166"/>
    </row>
    <row r="24" spans="1:26" s="104" customFormat="1" ht="25.5" customHeight="1" x14ac:dyDescent="0.25">
      <c r="A24" s="158" t="s">
        <v>91</v>
      </c>
      <c r="B24" s="159">
        <f>'CENSO (2)'!C26</f>
        <v>39756</v>
      </c>
      <c r="C24" s="160">
        <f t="shared" si="0"/>
        <v>3.6642183857936419</v>
      </c>
      <c r="D24" s="161">
        <f>Datos!$L$27*FFM!C24/100</f>
        <v>-12031.552675213068</v>
      </c>
      <c r="E24" s="162">
        <f>Datos!S106</f>
        <v>12319331</v>
      </c>
      <c r="F24" s="163">
        <f t="shared" si="2"/>
        <v>2.1385380459304941</v>
      </c>
      <c r="G24" s="162">
        <f>Datos!$L$28*FFM!F24/100</f>
        <v>-7021.9431372639256</v>
      </c>
      <c r="H24" s="164">
        <f t="shared" si="3"/>
        <v>-19053.495812476995</v>
      </c>
      <c r="I24" s="165" t="e">
        <f>D24+G24+#REF!</f>
        <v>#REF!</v>
      </c>
      <c r="J24" s="103">
        <f t="shared" si="1"/>
        <v>5.802756431724136</v>
      </c>
      <c r="K24" s="103">
        <f t="shared" si="4"/>
        <v>2.901378215862068</v>
      </c>
      <c r="L24" s="103">
        <v>2.767077</v>
      </c>
      <c r="M24" s="170">
        <f t="shared" si="5"/>
        <v>0.134301215862068</v>
      </c>
      <c r="N24" s="103" t="e">
        <f>#REF!</f>
        <v>#REF!</v>
      </c>
      <c r="P24" s="103" t="e">
        <f t="shared" si="6"/>
        <v>#REF!</v>
      </c>
      <c r="Q24" s="171">
        <v>3.7737189999999998</v>
      </c>
      <c r="R24" s="172">
        <f t="shared" si="7"/>
        <v>-0.87234078413793181</v>
      </c>
      <c r="S24" s="171"/>
      <c r="T24" s="171">
        <f t="shared" si="8"/>
        <v>0</v>
      </c>
      <c r="Y24" s="166"/>
      <c r="Z24" s="166"/>
    </row>
    <row r="25" spans="1:26" s="104" customFormat="1" ht="25.5" customHeight="1" x14ac:dyDescent="0.25">
      <c r="A25" s="158" t="s">
        <v>92</v>
      </c>
      <c r="B25" s="159">
        <f>'CENSO (2)'!C27</f>
        <v>380249</v>
      </c>
      <c r="C25" s="160">
        <f t="shared" si="0"/>
        <v>35.046669106037996</v>
      </c>
      <c r="D25" s="161">
        <f>Datos!$L$27*FFM!C25/100</f>
        <v>-115076.61417640341</v>
      </c>
      <c r="E25" s="162">
        <f>Datos!S107</f>
        <v>236317850</v>
      </c>
      <c r="F25" s="163">
        <f t="shared" si="2"/>
        <v>41.022902392791913</v>
      </c>
      <c r="G25" s="162">
        <f>Datos!$L$28*FFM!F25/100</f>
        <v>-134699.72557929208</v>
      </c>
      <c r="H25" s="164">
        <f t="shared" si="3"/>
        <v>-249776.33975569549</v>
      </c>
      <c r="I25" s="165" t="e">
        <f>D25+G25+#REF!</f>
        <v>#REF!</v>
      </c>
      <c r="J25" s="103">
        <f t="shared" si="1"/>
        <v>76.069571498829902</v>
      </c>
      <c r="K25" s="103">
        <f t="shared" si="4"/>
        <v>38.034785749414951</v>
      </c>
      <c r="L25" s="103">
        <v>35.053296000000003</v>
      </c>
      <c r="M25" s="170">
        <f t="shared" si="5"/>
        <v>2.9814897494149477</v>
      </c>
      <c r="N25" s="103" t="e">
        <f>#REF!</f>
        <v>#REF!</v>
      </c>
      <c r="P25" s="103" t="e">
        <f t="shared" si="6"/>
        <v>#REF!</v>
      </c>
      <c r="Q25" s="171">
        <v>47.455587999999999</v>
      </c>
      <c r="R25" s="172">
        <f t="shared" si="7"/>
        <v>-9.4208022505850479</v>
      </c>
      <c r="S25" s="171"/>
      <c r="T25" s="171">
        <f t="shared" si="8"/>
        <v>0</v>
      </c>
      <c r="Y25" s="166"/>
      <c r="Z25" s="166"/>
    </row>
    <row r="26" spans="1:26" s="104" customFormat="1" ht="25.5" customHeight="1" x14ac:dyDescent="0.25">
      <c r="A26" s="158" t="s">
        <v>93</v>
      </c>
      <c r="B26" s="159">
        <f>'CENSO (2)'!C28</f>
        <v>30030</v>
      </c>
      <c r="C26" s="160">
        <f t="shared" si="0"/>
        <v>2.7677955057194654</v>
      </c>
      <c r="D26" s="161">
        <f>Datos!$L$27*FFM!C26/100</f>
        <v>-9088.1257379175076</v>
      </c>
      <c r="E26" s="162">
        <f>Datos!S108</f>
        <v>1516592</v>
      </c>
      <c r="F26" s="163">
        <f t="shared" si="2"/>
        <v>0.26326832943719264</v>
      </c>
      <c r="G26" s="162">
        <f>Datos!$L$28*FFM!F26/100</f>
        <v>-864.44814141525796</v>
      </c>
      <c r="H26" s="164">
        <f t="shared" si="3"/>
        <v>-9952.5738793327655</v>
      </c>
      <c r="I26" s="169" t="e">
        <f>D26+G26+#REF!</f>
        <v>#REF!</v>
      </c>
      <c r="J26" s="103">
        <f t="shared" si="1"/>
        <v>3.0310638351566581</v>
      </c>
      <c r="K26" s="103">
        <f t="shared" si="4"/>
        <v>1.5155319175783291</v>
      </c>
      <c r="L26" s="103">
        <v>1.450617</v>
      </c>
      <c r="M26" s="170">
        <f t="shared" si="5"/>
        <v>6.4914917578329012E-2</v>
      </c>
      <c r="N26" s="103" t="e">
        <f>#REF!</f>
        <v>#REF!</v>
      </c>
      <c r="O26" s="104">
        <v>11.919331</v>
      </c>
      <c r="P26" s="103" t="e">
        <f t="shared" si="6"/>
        <v>#REF!</v>
      </c>
      <c r="Q26" s="171">
        <v>2.0164080000000002</v>
      </c>
      <c r="R26" s="172">
        <f t="shared" si="7"/>
        <v>-0.50087608242167114</v>
      </c>
      <c r="S26" s="171">
        <v>12.742653000000001</v>
      </c>
      <c r="T26" s="171">
        <f t="shared" si="8"/>
        <v>-0.823322000000001</v>
      </c>
      <c r="Y26" s="166"/>
      <c r="Z26" s="166"/>
    </row>
    <row r="27" spans="1:26" s="104" customFormat="1" ht="25.5" customHeight="1" thickBot="1" x14ac:dyDescent="0.3">
      <c r="A27" s="173" t="s">
        <v>94</v>
      </c>
      <c r="B27" s="174">
        <f>'CENSO (2)'!C29</f>
        <v>49102</v>
      </c>
      <c r="C27" s="160">
        <f t="shared" si="0"/>
        <v>4.5256175465147246</v>
      </c>
      <c r="D27" s="161">
        <f>Datos!$L$27*FFM!C27/100</f>
        <v>-14859.978354419762</v>
      </c>
      <c r="E27" s="174">
        <f>Datos!S109</f>
        <v>27689428</v>
      </c>
      <c r="F27" s="163">
        <f t="shared" si="2"/>
        <v>4.8066648463340345</v>
      </c>
      <c r="G27" s="162">
        <f>Datos!$L$28*FFM!F27/100</f>
        <v>-15782.804189558961</v>
      </c>
      <c r="H27" s="164">
        <f t="shared" si="3"/>
        <v>-30642.782543978723</v>
      </c>
      <c r="I27" s="165" t="e">
        <f>D27+G27+#REF!</f>
        <v>#REF!</v>
      </c>
      <c r="J27" s="103">
        <f t="shared" si="1"/>
        <v>9.332282392848759</v>
      </c>
      <c r="K27" s="103">
        <f t="shared" si="4"/>
        <v>4.6661411964243795</v>
      </c>
      <c r="L27" s="103">
        <v>5.1532229999999997</v>
      </c>
      <c r="M27" s="170">
        <f t="shared" si="5"/>
        <v>-0.48708180357562014</v>
      </c>
      <c r="N27" s="103" t="e">
        <f>#REF!</f>
        <v>#REF!</v>
      </c>
      <c r="P27" s="103" t="e">
        <f t="shared" si="6"/>
        <v>#REF!</v>
      </c>
      <c r="Q27" s="171">
        <v>6.9632639999999997</v>
      </c>
      <c r="R27" s="172">
        <f t="shared" si="7"/>
        <v>-2.2971228035756202</v>
      </c>
      <c r="S27" s="171"/>
      <c r="T27" s="171"/>
      <c r="Y27" s="166"/>
      <c r="Z27" s="166"/>
    </row>
    <row r="28" spans="1:26" ht="16.5" thickBot="1" x14ac:dyDescent="0.3">
      <c r="A28" s="175" t="s">
        <v>95</v>
      </c>
      <c r="B28" s="176">
        <f>SUM(B8:B27)</f>
        <v>1084979</v>
      </c>
      <c r="C28" s="177">
        <f t="shared" si="0"/>
        <v>100</v>
      </c>
      <c r="D28" s="178">
        <f>SUM(D8:D27)</f>
        <v>-328352.50000000006</v>
      </c>
      <c r="E28" s="179">
        <f>SUM(E8:E27)</f>
        <v>576063214</v>
      </c>
      <c r="F28" s="180">
        <f>E28/E$28*100</f>
        <v>100</v>
      </c>
      <c r="G28" s="181">
        <f>SUM(G8:G27)</f>
        <v>-328352.5</v>
      </c>
      <c r="H28" s="181">
        <f>SUM(H8:H27)</f>
        <v>-656705.00000000012</v>
      </c>
      <c r="I28" s="182" t="e">
        <f>SUM(I8:I27)</f>
        <v>#REF!</v>
      </c>
      <c r="J28" s="166">
        <f>SUM(J8:J27)</f>
        <v>199.99999999999994</v>
      </c>
      <c r="K28" s="166">
        <f t="shared" si="4"/>
        <v>99.999999999999972</v>
      </c>
      <c r="L28" s="166">
        <f>SUM(L8:L27)</f>
        <v>100.000001</v>
      </c>
      <c r="M28" s="166">
        <f>SUM(M8:M27)</f>
        <v>-1.3005409545312707E-2</v>
      </c>
      <c r="N28" s="166" t="e">
        <f>SUM(N8:N27)</f>
        <v>#REF!</v>
      </c>
      <c r="O28" s="166">
        <f t="shared" ref="O28:P28" si="9">SUM(O8:O27)</f>
        <v>99.999999000000003</v>
      </c>
      <c r="P28" s="166" t="e">
        <f t="shared" si="9"/>
        <v>#REF!</v>
      </c>
      <c r="Q28" s="168">
        <f>SUM(Q8:Q27)</f>
        <v>140.00000000000003</v>
      </c>
      <c r="R28" s="168">
        <f t="shared" ref="R28:T28" si="10">SUM(R8:R27)</f>
        <v>-40</v>
      </c>
      <c r="S28" s="168">
        <f t="shared" si="10"/>
        <v>99.999999000000003</v>
      </c>
      <c r="T28" s="168">
        <f t="shared" si="10"/>
        <v>1.7763568394002505E-15</v>
      </c>
      <c r="U28" s="75"/>
      <c r="V28" s="75"/>
      <c r="W28" s="75"/>
      <c r="X28" s="75"/>
      <c r="Y28" s="166"/>
      <c r="Z28" s="75"/>
    </row>
    <row r="29" spans="1:26" ht="15.75" x14ac:dyDescent="0.25">
      <c r="A29" s="128" t="s">
        <v>96</v>
      </c>
      <c r="B29" s="73"/>
      <c r="C29" s="73"/>
      <c r="D29" s="183"/>
      <c r="E29" s="184"/>
      <c r="F29" s="184"/>
      <c r="G29" s="183"/>
      <c r="H29" s="183"/>
      <c r="I29" s="184"/>
      <c r="J29" s="75"/>
      <c r="K29" s="75"/>
      <c r="L29" s="75"/>
      <c r="M29" s="75"/>
      <c r="N29" s="75"/>
      <c r="O29" s="75"/>
      <c r="P29" s="75"/>
      <c r="Q29" s="75"/>
      <c r="R29" s="75"/>
      <c r="S29" s="75"/>
      <c r="T29" s="75"/>
      <c r="U29" s="75"/>
      <c r="V29" s="75"/>
      <c r="W29" s="75"/>
      <c r="X29" s="75"/>
      <c r="Y29" s="75"/>
      <c r="Z29" s="75"/>
    </row>
    <row r="30" spans="1:26" ht="15.75" x14ac:dyDescent="0.25">
      <c r="A30" s="73"/>
      <c r="B30" s="75"/>
      <c r="C30" s="75"/>
      <c r="D30" s="185"/>
      <c r="E30" s="75"/>
      <c r="F30" s="75"/>
      <c r="G30" s="104"/>
      <c r="H30" s="104"/>
      <c r="I30" s="75"/>
      <c r="J30" s="75"/>
      <c r="K30" s="75"/>
      <c r="L30" s="75"/>
      <c r="M30" s="75"/>
      <c r="N30" s="75"/>
      <c r="O30" s="75"/>
      <c r="P30" s="75"/>
      <c r="Q30" s="75"/>
      <c r="R30" s="75"/>
      <c r="S30" s="75"/>
      <c r="T30" s="75"/>
      <c r="U30" s="75"/>
      <c r="V30" s="75"/>
      <c r="W30" s="75"/>
      <c r="X30" s="75"/>
      <c r="Y30" s="75"/>
      <c r="Z30" s="75"/>
    </row>
    <row r="31" spans="1:26" ht="15.75" x14ac:dyDescent="0.25">
      <c r="A31" s="73" t="s">
        <v>219</v>
      </c>
      <c r="B31" s="75"/>
      <c r="C31" s="75"/>
      <c r="D31" s="104"/>
      <c r="E31" s="75"/>
      <c r="F31" s="75"/>
      <c r="G31" s="104"/>
      <c r="H31" s="104"/>
      <c r="I31" s="75"/>
      <c r="J31" s="75"/>
      <c r="K31" s="75"/>
      <c r="L31" s="75"/>
      <c r="M31" s="75"/>
      <c r="N31" s="75"/>
      <c r="O31" s="75"/>
      <c r="P31" s="75"/>
      <c r="Q31" s="75"/>
      <c r="R31" s="75"/>
      <c r="S31" s="75"/>
      <c r="T31" s="75"/>
      <c r="U31" s="75"/>
      <c r="V31" s="75"/>
      <c r="W31" s="75"/>
      <c r="X31" s="75"/>
      <c r="Y31" s="75"/>
      <c r="Z31" s="75"/>
    </row>
    <row r="32" spans="1:26" ht="15.75" hidden="1" customHeight="1" x14ac:dyDescent="0.25">
      <c r="A32" s="356" t="s">
        <v>117</v>
      </c>
      <c r="B32" s="356"/>
      <c r="C32" s="356"/>
      <c r="D32" s="356"/>
      <c r="E32" s="356"/>
      <c r="F32" s="75"/>
      <c r="G32" s="104"/>
      <c r="H32" s="104"/>
      <c r="I32" s="75"/>
      <c r="J32" s="75"/>
      <c r="K32" s="75"/>
      <c r="L32" s="75"/>
      <c r="M32" s="75"/>
      <c r="N32" s="75"/>
      <c r="O32" s="75"/>
      <c r="P32" s="75"/>
      <c r="Q32" s="75"/>
      <c r="R32" s="75"/>
      <c r="S32" s="75"/>
      <c r="T32" s="75"/>
      <c r="U32" s="75"/>
      <c r="V32" s="75"/>
      <c r="W32" s="75"/>
      <c r="X32" s="75"/>
      <c r="Y32" s="75"/>
      <c r="Z32" s="75"/>
    </row>
    <row r="33" spans="1:6" ht="15" hidden="1" customHeight="1" x14ac:dyDescent="0.25">
      <c r="A33" s="73"/>
      <c r="B33" s="73"/>
      <c r="C33" s="73"/>
      <c r="D33" s="73"/>
      <c r="E33" s="73"/>
      <c r="F33" s="75"/>
    </row>
    <row r="34" spans="1:6" ht="15" hidden="1" customHeight="1" x14ac:dyDescent="0.25">
      <c r="A34" s="373" t="s">
        <v>98</v>
      </c>
      <c r="B34" s="186" t="s">
        <v>118</v>
      </c>
      <c r="C34" s="187" t="s">
        <v>119</v>
      </c>
      <c r="D34" s="187" t="s">
        <v>47</v>
      </c>
      <c r="E34" s="186" t="s">
        <v>120</v>
      </c>
      <c r="F34" s="186" t="s">
        <v>121</v>
      </c>
    </row>
    <row r="35" spans="1:6" ht="15" hidden="1" customHeight="1" x14ac:dyDescent="0.25">
      <c r="A35" s="374"/>
      <c r="B35" s="188" t="s">
        <v>122</v>
      </c>
      <c r="C35" s="189" t="s">
        <v>123</v>
      </c>
      <c r="D35" s="189" t="s">
        <v>124</v>
      </c>
      <c r="E35" s="188" t="s">
        <v>125</v>
      </c>
      <c r="F35" s="188" t="s">
        <v>126</v>
      </c>
    </row>
    <row r="36" spans="1:6" ht="15" hidden="1" customHeight="1" x14ac:dyDescent="0.25">
      <c r="A36" s="374"/>
      <c r="B36" s="190" t="s">
        <v>127</v>
      </c>
      <c r="C36" s="189" t="s">
        <v>128</v>
      </c>
      <c r="D36" s="189" t="s">
        <v>129</v>
      </c>
      <c r="E36" s="188">
        <v>2014</v>
      </c>
      <c r="F36" s="188" t="s">
        <v>130</v>
      </c>
    </row>
    <row r="37" spans="1:6" ht="15" hidden="1" customHeight="1" x14ac:dyDescent="0.25">
      <c r="A37" s="375"/>
      <c r="B37" s="191" t="s">
        <v>61</v>
      </c>
      <c r="C37" s="191" t="s">
        <v>62</v>
      </c>
      <c r="D37" s="191" t="s">
        <v>63</v>
      </c>
      <c r="E37" s="191" t="s">
        <v>131</v>
      </c>
      <c r="F37" s="191" t="s">
        <v>65</v>
      </c>
    </row>
    <row r="38" spans="1:6" ht="15" hidden="1" customHeight="1" x14ac:dyDescent="0.2">
      <c r="A38" s="192" t="s">
        <v>75</v>
      </c>
      <c r="B38" s="184" t="e">
        <f>#REF!*0.7</f>
        <v>#REF!</v>
      </c>
      <c r="C38" s="184">
        <f t="shared" ref="C38:C58" si="11">D8+G8</f>
        <v>-16677.187349802196</v>
      </c>
      <c r="D38" s="184" t="e">
        <f>#REF!+C38</f>
        <v>#REF!</v>
      </c>
      <c r="E38" s="184" t="e">
        <f>B38+C38</f>
        <v>#REF!</v>
      </c>
      <c r="F38" s="193" t="e">
        <f>D38-E38</f>
        <v>#REF!</v>
      </c>
    </row>
    <row r="39" spans="1:6" ht="15" hidden="1" customHeight="1" x14ac:dyDescent="0.2">
      <c r="A39" s="194" t="s">
        <v>76</v>
      </c>
      <c r="B39" s="184" t="e">
        <f>#REF!*0.7</f>
        <v>#REF!</v>
      </c>
      <c r="C39" s="184">
        <f t="shared" si="11"/>
        <v>-6769.286466000417</v>
      </c>
      <c r="D39" s="184" t="e">
        <f>#REF!+C39</f>
        <v>#REF!</v>
      </c>
      <c r="E39" s="184" t="e">
        <f t="shared" ref="E39:E57" si="12">B39+C39</f>
        <v>#REF!</v>
      </c>
      <c r="F39" s="193" t="e">
        <f t="shared" ref="F39:F57" si="13">D39-E39</f>
        <v>#REF!</v>
      </c>
    </row>
    <row r="40" spans="1:6" ht="15" hidden="1" customHeight="1" x14ac:dyDescent="0.2">
      <c r="A40" s="194" t="s">
        <v>77</v>
      </c>
      <c r="B40" s="184" t="e">
        <f>#REF!*0.7</f>
        <v>#REF!</v>
      </c>
      <c r="C40" s="184">
        <f t="shared" si="11"/>
        <v>-5488.6931167687426</v>
      </c>
      <c r="D40" s="184" t="e">
        <f>#REF!+C40</f>
        <v>#REF!</v>
      </c>
      <c r="E40" s="184" t="e">
        <f t="shared" si="12"/>
        <v>#REF!</v>
      </c>
      <c r="F40" s="193" t="e">
        <f t="shared" si="13"/>
        <v>#REF!</v>
      </c>
    </row>
    <row r="41" spans="1:6" ht="15" hidden="1" customHeight="1" x14ac:dyDescent="0.2">
      <c r="A41" s="194" t="s">
        <v>78</v>
      </c>
      <c r="B41" s="184" t="e">
        <f>#REF!*0.7</f>
        <v>#REF!</v>
      </c>
      <c r="C41" s="184">
        <f t="shared" si="11"/>
        <v>-151644.87363204069</v>
      </c>
      <c r="D41" s="184" t="e">
        <f>#REF!+C41</f>
        <v>#REF!</v>
      </c>
      <c r="E41" s="184" t="e">
        <f t="shared" si="12"/>
        <v>#REF!</v>
      </c>
      <c r="F41" s="193" t="e">
        <f t="shared" si="13"/>
        <v>#REF!</v>
      </c>
    </row>
    <row r="42" spans="1:6" ht="15" hidden="1" customHeight="1" x14ac:dyDescent="0.2">
      <c r="A42" s="194" t="s">
        <v>79</v>
      </c>
      <c r="B42" s="184" t="e">
        <f>#REF!*0.7</f>
        <v>#REF!</v>
      </c>
      <c r="C42" s="184">
        <f t="shared" si="11"/>
        <v>-43311.779652902871</v>
      </c>
      <c r="D42" s="184" t="e">
        <f>#REF!+C42</f>
        <v>#REF!</v>
      </c>
      <c r="E42" s="184" t="e">
        <f t="shared" si="12"/>
        <v>#REF!</v>
      </c>
      <c r="F42" s="193" t="e">
        <f t="shared" si="13"/>
        <v>#REF!</v>
      </c>
    </row>
    <row r="43" spans="1:6" ht="15" hidden="1" customHeight="1" x14ac:dyDescent="0.2">
      <c r="A43" s="194" t="s">
        <v>80</v>
      </c>
      <c r="B43" s="184" t="e">
        <f>#REF!*0.7</f>
        <v>#REF!</v>
      </c>
      <c r="C43" s="184">
        <f t="shared" si="11"/>
        <v>-10412.61443019822</v>
      </c>
      <c r="D43" s="184" t="e">
        <f>#REF!+C43</f>
        <v>#REF!</v>
      </c>
      <c r="E43" s="184" t="e">
        <f t="shared" si="12"/>
        <v>#REF!</v>
      </c>
      <c r="F43" s="193" t="e">
        <f t="shared" si="13"/>
        <v>#REF!</v>
      </c>
    </row>
    <row r="44" spans="1:6" ht="15" hidden="1" customHeight="1" x14ac:dyDescent="0.2">
      <c r="A44" s="194" t="s">
        <v>81</v>
      </c>
      <c r="B44" s="184" t="e">
        <f>#REF!*0.7</f>
        <v>#REF!</v>
      </c>
      <c r="C44" s="184">
        <f t="shared" si="11"/>
        <v>-3496.714540579002</v>
      </c>
      <c r="D44" s="184" t="e">
        <f>#REF!+C44</f>
        <v>#REF!</v>
      </c>
      <c r="E44" s="184" t="e">
        <f t="shared" si="12"/>
        <v>#REF!</v>
      </c>
      <c r="F44" s="193" t="e">
        <f t="shared" si="13"/>
        <v>#REF!</v>
      </c>
    </row>
    <row r="45" spans="1:6" ht="15" hidden="1" customHeight="1" x14ac:dyDescent="0.2">
      <c r="A45" s="194" t="s">
        <v>82</v>
      </c>
      <c r="B45" s="184" t="e">
        <f>#REF!*0.7</f>
        <v>#REF!</v>
      </c>
      <c r="C45" s="184">
        <f t="shared" si="11"/>
        <v>-13560.952029286713</v>
      </c>
      <c r="D45" s="184" t="e">
        <f>#REF!+C45</f>
        <v>#REF!</v>
      </c>
      <c r="E45" s="184" t="e">
        <f t="shared" si="12"/>
        <v>#REF!</v>
      </c>
      <c r="F45" s="193" t="e">
        <f t="shared" si="13"/>
        <v>#REF!</v>
      </c>
    </row>
    <row r="46" spans="1:6" ht="15" hidden="1" customHeight="1" x14ac:dyDescent="0.2">
      <c r="A46" s="194" t="s">
        <v>83</v>
      </c>
      <c r="B46" s="184" t="e">
        <f>#REF!*0.7</f>
        <v>#REF!</v>
      </c>
      <c r="C46" s="184">
        <f t="shared" si="11"/>
        <v>-7169.9710761002016</v>
      </c>
      <c r="D46" s="184" t="e">
        <f>#REF!+C46</f>
        <v>#REF!</v>
      </c>
      <c r="E46" s="184" t="e">
        <f t="shared" si="12"/>
        <v>#REF!</v>
      </c>
      <c r="F46" s="193" t="e">
        <f t="shared" si="13"/>
        <v>#REF!</v>
      </c>
    </row>
    <row r="47" spans="1:6" ht="15" hidden="1" customHeight="1" x14ac:dyDescent="0.2">
      <c r="A47" s="194" t="s">
        <v>84</v>
      </c>
      <c r="B47" s="184" t="e">
        <f>#REF!*0.7</f>
        <v>#REF!</v>
      </c>
      <c r="C47" s="184">
        <f t="shared" si="11"/>
        <v>-4447.5373020044826</v>
      </c>
      <c r="D47" s="184" t="e">
        <f>#REF!+C47</f>
        <v>#REF!</v>
      </c>
      <c r="E47" s="184" t="e">
        <f t="shared" si="12"/>
        <v>#REF!</v>
      </c>
      <c r="F47" s="193" t="e">
        <f t="shared" si="13"/>
        <v>#REF!</v>
      </c>
    </row>
    <row r="48" spans="1:6" ht="15" hidden="1" customHeight="1" x14ac:dyDescent="0.2">
      <c r="A48" s="194" t="s">
        <v>85</v>
      </c>
      <c r="B48" s="184" t="e">
        <f>#REF!*0.7</f>
        <v>#REF!</v>
      </c>
      <c r="C48" s="184">
        <f t="shared" si="11"/>
        <v>-11616.968042851768</v>
      </c>
      <c r="D48" s="184" t="e">
        <f>#REF!+C48</f>
        <v>#REF!</v>
      </c>
      <c r="E48" s="184" t="e">
        <f t="shared" si="12"/>
        <v>#REF!</v>
      </c>
      <c r="F48" s="193" t="e">
        <f t="shared" si="13"/>
        <v>#REF!</v>
      </c>
    </row>
    <row r="49" spans="1:6" ht="15" hidden="1" customHeight="1" x14ac:dyDescent="0.2">
      <c r="A49" s="194" t="s">
        <v>86</v>
      </c>
      <c r="B49" s="184" t="e">
        <f>#REF!*0.7</f>
        <v>#REF!</v>
      </c>
      <c r="C49" s="184">
        <f t="shared" si="11"/>
        <v>-10601.763076533876</v>
      </c>
      <c r="D49" s="184" t="e">
        <f>#REF!+C49</f>
        <v>#REF!</v>
      </c>
      <c r="E49" s="184" t="e">
        <f t="shared" si="12"/>
        <v>#REF!</v>
      </c>
      <c r="F49" s="193" t="e">
        <f t="shared" si="13"/>
        <v>#REF!</v>
      </c>
    </row>
    <row r="50" spans="1:6" ht="15" hidden="1" customHeight="1" x14ac:dyDescent="0.2">
      <c r="A50" s="194" t="s">
        <v>87</v>
      </c>
      <c r="B50" s="184" t="e">
        <f>#REF!*0.7</f>
        <v>#REF!</v>
      </c>
      <c r="C50" s="184">
        <f t="shared" si="11"/>
        <v>-15531.014642603801</v>
      </c>
      <c r="D50" s="184" t="e">
        <f>#REF!+C50</f>
        <v>#REF!</v>
      </c>
      <c r="E50" s="184" t="e">
        <f t="shared" si="12"/>
        <v>#REF!</v>
      </c>
      <c r="F50" s="193" t="e">
        <f t="shared" si="13"/>
        <v>#REF!</v>
      </c>
    </row>
    <row r="51" spans="1:6" ht="15" hidden="1" customHeight="1" x14ac:dyDescent="0.2">
      <c r="A51" s="194" t="s">
        <v>88</v>
      </c>
      <c r="B51" s="184" t="e">
        <f>#REF!*0.7</f>
        <v>#REF!</v>
      </c>
      <c r="C51" s="184">
        <f t="shared" si="11"/>
        <v>-3000.1378178407758</v>
      </c>
      <c r="D51" s="184" t="e">
        <f>#REF!+C51</f>
        <v>#REF!</v>
      </c>
      <c r="E51" s="184" t="e">
        <f t="shared" si="12"/>
        <v>#REF!</v>
      </c>
      <c r="F51" s="193" t="e">
        <f t="shared" si="13"/>
        <v>#REF!</v>
      </c>
    </row>
    <row r="52" spans="1:6" ht="15" hidden="1" customHeight="1" x14ac:dyDescent="0.2">
      <c r="A52" s="194" t="s">
        <v>89</v>
      </c>
      <c r="B52" s="184" t="e">
        <f>#REF!*0.7</f>
        <v>#REF!</v>
      </c>
      <c r="C52" s="184">
        <f t="shared" si="11"/>
        <v>-8229.5176046796896</v>
      </c>
      <c r="D52" s="184" t="e">
        <f>#REF!+C52</f>
        <v>#REF!</v>
      </c>
      <c r="E52" s="184" t="e">
        <f t="shared" si="12"/>
        <v>#REF!</v>
      </c>
      <c r="F52" s="193" t="e">
        <f t="shared" si="13"/>
        <v>#REF!</v>
      </c>
    </row>
    <row r="53" spans="1:6" ht="15" hidden="1" customHeight="1" x14ac:dyDescent="0.2">
      <c r="A53" s="194" t="s">
        <v>90</v>
      </c>
      <c r="B53" s="184" t="e">
        <f>#REF!*0.7</f>
        <v>#REF!</v>
      </c>
      <c r="C53" s="184">
        <f t="shared" si="11"/>
        <v>-35320.797228322575</v>
      </c>
      <c r="D53" s="184" t="e">
        <f>#REF!+C53</f>
        <v>#REF!</v>
      </c>
      <c r="E53" s="184" t="e">
        <f t="shared" si="12"/>
        <v>#REF!</v>
      </c>
      <c r="F53" s="193" t="e">
        <f t="shared" si="13"/>
        <v>#REF!</v>
      </c>
    </row>
    <row r="54" spans="1:6" ht="15" hidden="1" customHeight="1" x14ac:dyDescent="0.2">
      <c r="A54" s="194" t="s">
        <v>91</v>
      </c>
      <c r="B54" s="184" t="e">
        <f>#REF!*0.7</f>
        <v>#REF!</v>
      </c>
      <c r="C54" s="184">
        <f t="shared" si="11"/>
        <v>-19053.495812476995</v>
      </c>
      <c r="D54" s="184" t="e">
        <f>#REF!+C54</f>
        <v>#REF!</v>
      </c>
      <c r="E54" s="184" t="e">
        <f t="shared" si="12"/>
        <v>#REF!</v>
      </c>
      <c r="F54" s="193" t="e">
        <f t="shared" si="13"/>
        <v>#REF!</v>
      </c>
    </row>
    <row r="55" spans="1:6" ht="15" hidden="1" customHeight="1" x14ac:dyDescent="0.2">
      <c r="A55" s="194" t="s">
        <v>92</v>
      </c>
      <c r="B55" s="184" t="e">
        <f>#REF!*0.7</f>
        <v>#REF!</v>
      </c>
      <c r="C55" s="184">
        <f t="shared" si="11"/>
        <v>-249776.33975569549</v>
      </c>
      <c r="D55" s="184" t="e">
        <f>#REF!+C55</f>
        <v>#REF!</v>
      </c>
      <c r="E55" s="184" t="e">
        <f t="shared" si="12"/>
        <v>#REF!</v>
      </c>
      <c r="F55" s="193" t="e">
        <f t="shared" si="13"/>
        <v>#REF!</v>
      </c>
    </row>
    <row r="56" spans="1:6" ht="15" hidden="1" customHeight="1" x14ac:dyDescent="0.2">
      <c r="A56" s="194" t="s">
        <v>93</v>
      </c>
      <c r="B56" s="184" t="e">
        <f>#REF!*0.7</f>
        <v>#REF!</v>
      </c>
      <c r="C56" s="184">
        <f t="shared" si="11"/>
        <v>-9952.5738793327655</v>
      </c>
      <c r="D56" s="184" t="e">
        <f>#REF!+C56</f>
        <v>#REF!</v>
      </c>
      <c r="E56" s="184" t="e">
        <f t="shared" si="12"/>
        <v>#REF!</v>
      </c>
      <c r="F56" s="193" t="e">
        <f t="shared" si="13"/>
        <v>#REF!</v>
      </c>
    </row>
    <row r="57" spans="1:6" ht="15" hidden="1" customHeight="1" x14ac:dyDescent="0.2">
      <c r="A57" s="194" t="s">
        <v>94</v>
      </c>
      <c r="B57" s="184" t="e">
        <f>#REF!*0.7</f>
        <v>#REF!</v>
      </c>
      <c r="C57" s="184">
        <f t="shared" si="11"/>
        <v>-30642.782543978723</v>
      </c>
      <c r="D57" s="184" t="e">
        <f>#REF!+C57</f>
        <v>#REF!</v>
      </c>
      <c r="E57" s="184" t="e">
        <f t="shared" si="12"/>
        <v>#REF!</v>
      </c>
      <c r="F57" s="193" t="e">
        <f t="shared" si="13"/>
        <v>#REF!</v>
      </c>
    </row>
    <row r="58" spans="1:6" ht="15" hidden="1" customHeight="1" x14ac:dyDescent="0.25">
      <c r="A58" s="195" t="s">
        <v>95</v>
      </c>
      <c r="B58" s="196" t="e">
        <f>#REF!*0.7</f>
        <v>#REF!</v>
      </c>
      <c r="C58" s="196">
        <f t="shared" si="11"/>
        <v>-656705</v>
      </c>
      <c r="D58" s="196" t="e">
        <f>#REF!+C58</f>
        <v>#REF!</v>
      </c>
      <c r="E58" s="196" t="e">
        <f>SUM(E38:E57)</f>
        <v>#REF!</v>
      </c>
      <c r="F58" s="197">
        <v>0</v>
      </c>
    </row>
    <row r="59" spans="1:6" ht="15.75" x14ac:dyDescent="0.25">
      <c r="A59" s="75"/>
      <c r="B59" s="75"/>
      <c r="C59" s="75"/>
      <c r="D59" s="104"/>
      <c r="E59" s="75"/>
      <c r="F59" s="75"/>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E29"/>
  <sheetViews>
    <sheetView workbookViewId="0">
      <selection activeCell="D33" sqref="D33"/>
    </sheetView>
  </sheetViews>
  <sheetFormatPr baseColWidth="10" defaultRowHeight="15" x14ac:dyDescent="0.25"/>
  <cols>
    <col min="1" max="1" width="2.77734375" style="75" customWidth="1"/>
    <col min="2" max="2" width="26.77734375" style="75" customWidth="1"/>
    <col min="3" max="3" width="15" style="74" customWidth="1"/>
    <col min="4" max="4" width="16.44140625" style="138" customWidth="1"/>
    <col min="5" max="5" width="14.33203125" style="75" customWidth="1"/>
    <col min="6" max="6" width="14.77734375" style="75" customWidth="1"/>
    <col min="7" max="7" width="10" style="75" customWidth="1"/>
    <col min="8" max="16384" width="11.5546875" style="75"/>
  </cols>
  <sheetData>
    <row r="1" spans="2:5" x14ac:dyDescent="0.25">
      <c r="B1" s="73"/>
      <c r="C1" s="198"/>
    </row>
    <row r="2" spans="2:5" ht="33.75" customHeight="1" thickBot="1" x14ac:dyDescent="0.3">
      <c r="B2" s="390" t="s">
        <v>132</v>
      </c>
      <c r="C2" s="390"/>
      <c r="D2" s="390"/>
    </row>
    <row r="3" spans="2:5" x14ac:dyDescent="0.25">
      <c r="B3" s="391" t="s">
        <v>98</v>
      </c>
      <c r="C3" s="391" t="s">
        <v>133</v>
      </c>
      <c r="D3" s="396" t="s">
        <v>231</v>
      </c>
    </row>
    <row r="4" spans="2:5" x14ac:dyDescent="0.25">
      <c r="B4" s="392"/>
      <c r="C4" s="394"/>
      <c r="D4" s="397"/>
    </row>
    <row r="5" spans="2:5" x14ac:dyDescent="0.25">
      <c r="B5" s="392"/>
      <c r="C5" s="394"/>
      <c r="D5" s="397"/>
    </row>
    <row r="6" spans="2:5" ht="15.75" thickBot="1" x14ac:dyDescent="0.3">
      <c r="B6" s="393"/>
      <c r="C6" s="395"/>
      <c r="D6" s="398"/>
    </row>
    <row r="7" spans="2:5" x14ac:dyDescent="0.25">
      <c r="B7" s="199" t="s">
        <v>75</v>
      </c>
      <c r="C7" s="200">
        <v>0.05</v>
      </c>
      <c r="D7" s="201">
        <f>Datos!$L$49*'IEPS TyA'!C7</f>
        <v>8099.0775000000012</v>
      </c>
      <c r="E7" s="202"/>
    </row>
    <row r="8" spans="2:5" x14ac:dyDescent="0.25">
      <c r="B8" s="203" t="s">
        <v>76</v>
      </c>
      <c r="C8" s="204">
        <v>0.05</v>
      </c>
      <c r="D8" s="205">
        <f>Datos!$L$49*'IEPS TyA'!C8</f>
        <v>8099.0775000000012</v>
      </c>
      <c r="E8" s="202"/>
    </row>
    <row r="9" spans="2:5" x14ac:dyDescent="0.25">
      <c r="B9" s="203" t="s">
        <v>77</v>
      </c>
      <c r="C9" s="204">
        <v>0.05</v>
      </c>
      <c r="D9" s="205">
        <f>Datos!$L$49*'IEPS TyA'!C9</f>
        <v>8099.0775000000012</v>
      </c>
      <c r="E9" s="202"/>
    </row>
    <row r="10" spans="2:5" x14ac:dyDescent="0.25">
      <c r="B10" s="203" t="s">
        <v>78</v>
      </c>
      <c r="C10" s="204">
        <v>0.05</v>
      </c>
      <c r="D10" s="205">
        <f>Datos!$L$49*'IEPS TyA'!C10</f>
        <v>8099.0775000000012</v>
      </c>
      <c r="E10" s="202"/>
    </row>
    <row r="11" spans="2:5" x14ac:dyDescent="0.25">
      <c r="B11" s="203" t="s">
        <v>79</v>
      </c>
      <c r="C11" s="204">
        <v>0.05</v>
      </c>
      <c r="D11" s="205">
        <f>Datos!$L$49*'IEPS TyA'!C11</f>
        <v>8099.0775000000012</v>
      </c>
      <c r="E11" s="202"/>
    </row>
    <row r="12" spans="2:5" x14ac:dyDescent="0.25">
      <c r="B12" s="203" t="s">
        <v>80</v>
      </c>
      <c r="C12" s="204">
        <v>0.05</v>
      </c>
      <c r="D12" s="205">
        <f>Datos!$L$49*'IEPS TyA'!C12</f>
        <v>8099.0775000000012</v>
      </c>
      <c r="E12" s="202"/>
    </row>
    <row r="13" spans="2:5" x14ac:dyDescent="0.25">
      <c r="B13" s="203" t="s">
        <v>81</v>
      </c>
      <c r="C13" s="204">
        <v>0.05</v>
      </c>
      <c r="D13" s="205">
        <f>Datos!$L$49*'IEPS TyA'!C13</f>
        <v>8099.0775000000012</v>
      </c>
      <c r="E13" s="202"/>
    </row>
    <row r="14" spans="2:5" x14ac:dyDescent="0.25">
      <c r="B14" s="203" t="s">
        <v>82</v>
      </c>
      <c r="C14" s="204">
        <v>0.05</v>
      </c>
      <c r="D14" s="205">
        <f>Datos!$L$49*'IEPS TyA'!C14</f>
        <v>8099.0775000000012</v>
      </c>
      <c r="E14" s="202"/>
    </row>
    <row r="15" spans="2:5" x14ac:dyDescent="0.25">
      <c r="B15" s="203" t="s">
        <v>83</v>
      </c>
      <c r="C15" s="204">
        <v>0.05</v>
      </c>
      <c r="D15" s="205">
        <f>Datos!$L$49*'IEPS TyA'!C15</f>
        <v>8099.0775000000012</v>
      </c>
      <c r="E15" s="202"/>
    </row>
    <row r="16" spans="2:5" x14ac:dyDescent="0.25">
      <c r="B16" s="203" t="s">
        <v>84</v>
      </c>
      <c r="C16" s="204">
        <v>0.05</v>
      </c>
      <c r="D16" s="205">
        <f>Datos!$L$49*'IEPS TyA'!C16</f>
        <v>8099.0775000000012</v>
      </c>
      <c r="E16" s="202"/>
    </row>
    <row r="17" spans="2:5" x14ac:dyDescent="0.25">
      <c r="B17" s="203" t="s">
        <v>85</v>
      </c>
      <c r="C17" s="204">
        <v>0.05</v>
      </c>
      <c r="D17" s="205">
        <f>Datos!$L$49*'IEPS TyA'!C17</f>
        <v>8099.0775000000012</v>
      </c>
      <c r="E17" s="202"/>
    </row>
    <row r="18" spans="2:5" x14ac:dyDescent="0.25">
      <c r="B18" s="203" t="s">
        <v>86</v>
      </c>
      <c r="C18" s="204">
        <v>0.05</v>
      </c>
      <c r="D18" s="205">
        <f>Datos!$L$49*'IEPS TyA'!C18</f>
        <v>8099.0775000000012</v>
      </c>
      <c r="E18" s="202"/>
    </row>
    <row r="19" spans="2:5" x14ac:dyDescent="0.25">
      <c r="B19" s="203" t="s">
        <v>87</v>
      </c>
      <c r="C19" s="204">
        <v>0.05</v>
      </c>
      <c r="D19" s="205">
        <f>Datos!$L$49*'IEPS TyA'!C19</f>
        <v>8099.0775000000012</v>
      </c>
      <c r="E19" s="202"/>
    </row>
    <row r="20" spans="2:5" x14ac:dyDescent="0.25">
      <c r="B20" s="203" t="s">
        <v>88</v>
      </c>
      <c r="C20" s="204">
        <v>0.05</v>
      </c>
      <c r="D20" s="205">
        <f>Datos!$L$49*'IEPS TyA'!C20</f>
        <v>8099.0775000000012</v>
      </c>
      <c r="E20" s="202"/>
    </row>
    <row r="21" spans="2:5" x14ac:dyDescent="0.25">
      <c r="B21" s="203" t="s">
        <v>89</v>
      </c>
      <c r="C21" s="204">
        <v>0.05</v>
      </c>
      <c r="D21" s="205">
        <f>Datos!$L$49*'IEPS TyA'!C21</f>
        <v>8099.0775000000012</v>
      </c>
      <c r="E21" s="202"/>
    </row>
    <row r="22" spans="2:5" x14ac:dyDescent="0.25">
      <c r="B22" s="203" t="s">
        <v>90</v>
      </c>
      <c r="C22" s="204">
        <v>0.05</v>
      </c>
      <c r="D22" s="205">
        <f>Datos!$L$49*'IEPS TyA'!C22</f>
        <v>8099.0775000000012</v>
      </c>
      <c r="E22" s="202"/>
    </row>
    <row r="23" spans="2:5" x14ac:dyDescent="0.25">
      <c r="B23" s="203" t="s">
        <v>91</v>
      </c>
      <c r="C23" s="204">
        <v>0.05</v>
      </c>
      <c r="D23" s="205">
        <f>Datos!$L$49*'IEPS TyA'!C23</f>
        <v>8099.0775000000012</v>
      </c>
      <c r="E23" s="202"/>
    </row>
    <row r="24" spans="2:5" x14ac:dyDescent="0.25">
      <c r="B24" s="203" t="s">
        <v>92</v>
      </c>
      <c r="C24" s="204">
        <v>0.05</v>
      </c>
      <c r="D24" s="205">
        <f>Datos!$L$49*'IEPS TyA'!C24</f>
        <v>8099.0775000000012</v>
      </c>
      <c r="E24" s="202"/>
    </row>
    <row r="25" spans="2:5" x14ac:dyDescent="0.25">
      <c r="B25" s="203" t="s">
        <v>93</v>
      </c>
      <c r="C25" s="204">
        <v>0.05</v>
      </c>
      <c r="D25" s="205">
        <f>Datos!$L$49*'IEPS TyA'!C25</f>
        <v>8099.0775000000012</v>
      </c>
      <c r="E25" s="202"/>
    </row>
    <row r="26" spans="2:5" ht="15.75" thickBot="1" x14ac:dyDescent="0.3">
      <c r="B26" s="206" t="s">
        <v>94</v>
      </c>
      <c r="C26" s="207">
        <v>0.05</v>
      </c>
      <c r="D26" s="208">
        <f>Datos!$L$49*'IEPS TyA'!C26</f>
        <v>8099.0775000000012</v>
      </c>
      <c r="E26" s="202"/>
    </row>
    <row r="27" spans="2:5" ht="15.75" thickBot="1" x14ac:dyDescent="0.3">
      <c r="B27" s="209" t="s">
        <v>95</v>
      </c>
      <c r="C27" s="319">
        <v>100</v>
      </c>
      <c r="D27" s="210">
        <f>SUM(D7:D26)</f>
        <v>161981.55000000005</v>
      </c>
      <c r="E27" s="202"/>
    </row>
    <row r="28" spans="2:5" x14ac:dyDescent="0.25">
      <c r="B28" s="128" t="s">
        <v>96</v>
      </c>
      <c r="C28" s="198"/>
    </row>
    <row r="29" spans="2:5" x14ac:dyDescent="0.25">
      <c r="B29" s="211" t="s">
        <v>221</v>
      </c>
      <c r="C29" s="211"/>
      <c r="D29" s="211"/>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1:M34"/>
  <sheetViews>
    <sheetView zoomScaleNormal="100" workbookViewId="0">
      <selection activeCell="D14" sqref="D14"/>
    </sheetView>
  </sheetViews>
  <sheetFormatPr baseColWidth="10" defaultRowHeight="15" x14ac:dyDescent="0.25"/>
  <cols>
    <col min="1" max="1" width="2.77734375" style="75" customWidth="1"/>
    <col min="2" max="2" width="15.88671875" style="75" customWidth="1"/>
    <col min="3" max="3" width="11.109375" style="75" customWidth="1"/>
    <col min="4" max="4" width="10.5546875" style="75" customWidth="1"/>
    <col min="5" max="5" width="8.6640625" style="74" customWidth="1"/>
    <col min="6" max="6" width="10.6640625" style="74" customWidth="1"/>
    <col min="7" max="7" width="11.33203125" style="75" customWidth="1"/>
    <col min="8" max="8" width="10" style="138" customWidth="1"/>
    <col min="9" max="11" width="0" style="75" hidden="1" customWidth="1"/>
    <col min="12" max="16384" width="11.5546875" style="75"/>
  </cols>
  <sheetData>
    <row r="1" spans="2:13" x14ac:dyDescent="0.25">
      <c r="B1" s="212"/>
      <c r="C1" s="212"/>
      <c r="D1" s="212"/>
      <c r="E1" s="213"/>
      <c r="F1" s="213"/>
      <c r="G1" s="214"/>
    </row>
    <row r="2" spans="2:13" ht="15.75" thickBot="1" x14ac:dyDescent="0.3">
      <c r="B2" s="400" t="s">
        <v>134</v>
      </c>
      <c r="C2" s="400"/>
      <c r="D2" s="400"/>
      <c r="E2" s="400"/>
      <c r="F2" s="400"/>
      <c r="G2" s="400"/>
      <c r="H2" s="400"/>
    </row>
    <row r="3" spans="2:13" ht="15" customHeight="1" x14ac:dyDescent="0.25">
      <c r="B3" s="380" t="s">
        <v>98</v>
      </c>
      <c r="C3" s="401" t="s">
        <v>135</v>
      </c>
      <c r="D3" s="401" t="s">
        <v>136</v>
      </c>
      <c r="E3" s="215" t="s">
        <v>137</v>
      </c>
      <c r="F3" s="216" t="s">
        <v>138</v>
      </c>
      <c r="G3" s="215" t="s">
        <v>139</v>
      </c>
      <c r="H3" s="403" t="s">
        <v>230</v>
      </c>
    </row>
    <row r="4" spans="2:13" x14ac:dyDescent="0.25">
      <c r="B4" s="381"/>
      <c r="C4" s="402"/>
      <c r="D4" s="402"/>
      <c r="E4" s="217">
        <v>2010</v>
      </c>
      <c r="F4" s="218" t="s">
        <v>140</v>
      </c>
      <c r="G4" s="217" t="s">
        <v>141</v>
      </c>
      <c r="H4" s="404"/>
    </row>
    <row r="5" spans="2:13" x14ac:dyDescent="0.25">
      <c r="B5" s="381"/>
      <c r="C5" s="217" t="s">
        <v>142</v>
      </c>
      <c r="D5" s="218" t="s">
        <v>142</v>
      </c>
      <c r="E5" s="217"/>
      <c r="F5" s="218" t="s">
        <v>49</v>
      </c>
      <c r="G5" s="217"/>
      <c r="H5" s="404"/>
    </row>
    <row r="6" spans="2:13" ht="15.75" thickBot="1" x14ac:dyDescent="0.3">
      <c r="B6" s="382"/>
      <c r="C6" s="219" t="s">
        <v>59</v>
      </c>
      <c r="D6" s="220" t="s">
        <v>106</v>
      </c>
      <c r="E6" s="219" t="s">
        <v>61</v>
      </c>
      <c r="F6" s="221" t="s">
        <v>143</v>
      </c>
      <c r="G6" s="222" t="s">
        <v>144</v>
      </c>
      <c r="H6" s="223" t="s">
        <v>64</v>
      </c>
      <c r="I6" s="224" t="s">
        <v>111</v>
      </c>
      <c r="J6" s="225" t="s">
        <v>145</v>
      </c>
      <c r="K6" s="226"/>
    </row>
    <row r="7" spans="2:13" x14ac:dyDescent="0.25">
      <c r="B7" s="227" t="s">
        <v>75</v>
      </c>
      <c r="C7" s="228">
        <f>Datos!S90</f>
        <v>9840850</v>
      </c>
      <c r="D7" s="229">
        <f>C7/$C$27*100</f>
        <v>1.7082934235061225</v>
      </c>
      <c r="E7" s="228">
        <f>'CENSO (2)'!C10</f>
        <v>36572</v>
      </c>
      <c r="F7" s="230">
        <f>D7*E7</f>
        <v>62475.70708446591</v>
      </c>
      <c r="G7" s="231">
        <f>F7/F$27*100</f>
        <v>0.29561697185986546</v>
      </c>
      <c r="H7" s="232">
        <f>$H$27*G7/100</f>
        <v>409.8295496930831</v>
      </c>
      <c r="I7" s="233">
        <f t="shared" ref="I7:I26" si="0">G7</f>
        <v>0.29561697185986546</v>
      </c>
      <c r="J7" s="226">
        <v>0.307836</v>
      </c>
      <c r="K7" s="233">
        <f>I7-J7</f>
        <v>-1.2219028140134536E-2</v>
      </c>
    </row>
    <row r="8" spans="2:13" x14ac:dyDescent="0.25">
      <c r="B8" s="158" t="s">
        <v>76</v>
      </c>
      <c r="C8" s="162">
        <f>Datos!S91</f>
        <v>3790321</v>
      </c>
      <c r="D8" s="234">
        <f t="shared" ref="D8:D26" si="1">C8/$C$27*100</f>
        <v>0.65796963039545864</v>
      </c>
      <c r="E8" s="162">
        <f>'CENSO (2)'!C11</f>
        <v>15229</v>
      </c>
      <c r="F8" s="165">
        <f t="shared" ref="F8:F26" si="2">D8*E8</f>
        <v>10020.21950129244</v>
      </c>
      <c r="G8" s="235">
        <f t="shared" ref="G8:G27" si="3">F8/F$27*100</f>
        <v>4.7412779855992321E-2</v>
      </c>
      <c r="H8" s="236">
        <f t="shared" ref="H8:H26" si="4">$H$27*G8/100</f>
        <v>65.730861444889484</v>
      </c>
      <c r="I8" s="233">
        <f t="shared" si="0"/>
        <v>4.7412779855992321E-2</v>
      </c>
      <c r="J8" s="226">
        <v>5.7023999999999998E-2</v>
      </c>
      <c r="K8" s="233">
        <f t="shared" ref="K8:K26" si="5">I8-J8</f>
        <v>-9.6112201440076775E-3</v>
      </c>
    </row>
    <row r="9" spans="2:13" x14ac:dyDescent="0.25">
      <c r="B9" s="158" t="s">
        <v>77</v>
      </c>
      <c r="C9" s="162">
        <f>Datos!S92</f>
        <v>3689187</v>
      </c>
      <c r="D9" s="234">
        <f t="shared" si="1"/>
        <v>0.64041357100090757</v>
      </c>
      <c r="E9" s="162">
        <f>'CENSO (2)'!C12</f>
        <v>11188</v>
      </c>
      <c r="F9" s="165">
        <f t="shared" si="2"/>
        <v>7164.9470323581536</v>
      </c>
      <c r="G9" s="235">
        <f t="shared" si="3"/>
        <v>3.3902456556088992E-2</v>
      </c>
      <c r="H9" s="236">
        <f t="shared" si="4"/>
        <v>47.000780829517787</v>
      </c>
      <c r="I9" s="233">
        <f t="shared" si="0"/>
        <v>3.3902456556088992E-2</v>
      </c>
      <c r="J9" s="226">
        <v>3.8598E-2</v>
      </c>
      <c r="K9" s="233">
        <f t="shared" si="5"/>
        <v>-4.6955434439110086E-3</v>
      </c>
    </row>
    <row r="10" spans="2:13" x14ac:dyDescent="0.25">
      <c r="B10" s="158" t="s">
        <v>78</v>
      </c>
      <c r="C10" s="162">
        <f>Datos!S93</f>
        <v>200100586</v>
      </c>
      <c r="D10" s="234">
        <f t="shared" si="1"/>
        <v>34.735872928001264</v>
      </c>
      <c r="E10" s="162">
        <f>'CENSO (2)'!C13</f>
        <v>124205</v>
      </c>
      <c r="F10" s="165">
        <f t="shared" si="2"/>
        <v>4314369.0970223974</v>
      </c>
      <c r="G10" s="235">
        <f t="shared" si="3"/>
        <v>20.414346431057222</v>
      </c>
      <c r="H10" s="236">
        <f t="shared" si="4"/>
        <v>28301.495521322082</v>
      </c>
      <c r="I10" s="233">
        <f t="shared" si="0"/>
        <v>20.414346431057222</v>
      </c>
      <c r="J10" s="226">
        <v>27.722322999999999</v>
      </c>
      <c r="K10" s="233">
        <f t="shared" si="5"/>
        <v>-7.3079765689427774</v>
      </c>
    </row>
    <row r="11" spans="2:13" x14ac:dyDescent="0.25">
      <c r="B11" s="158" t="s">
        <v>79</v>
      </c>
      <c r="C11" s="162">
        <f>Datos!S94</f>
        <v>38608461</v>
      </c>
      <c r="D11" s="234">
        <f t="shared" si="1"/>
        <v>6.702122277851263</v>
      </c>
      <c r="E11" s="162">
        <f>'CENSO (2)'!C14</f>
        <v>70399</v>
      </c>
      <c r="F11" s="165">
        <f t="shared" si="2"/>
        <v>471822.70623845106</v>
      </c>
      <c r="G11" s="235">
        <f t="shared" si="3"/>
        <v>2.2325285488064215</v>
      </c>
      <c r="H11" s="236">
        <f t="shared" si="4"/>
        <v>3095.0732093555662</v>
      </c>
      <c r="I11" s="233">
        <f t="shared" si="0"/>
        <v>2.2325285488064215</v>
      </c>
      <c r="J11" s="226">
        <v>1.5035639999999999</v>
      </c>
      <c r="K11" s="233">
        <f t="shared" si="5"/>
        <v>0.72896454880642159</v>
      </c>
    </row>
    <row r="12" spans="2:13" x14ac:dyDescent="0.25">
      <c r="B12" s="158" t="s">
        <v>80</v>
      </c>
      <c r="C12" s="162">
        <f>Datos!S95</f>
        <v>56558</v>
      </c>
      <c r="D12" s="234">
        <f t="shared" si="1"/>
        <v>9.8180197286473498E-3</v>
      </c>
      <c r="E12" s="162">
        <f>'CENSO (2)'!C15</f>
        <v>34300</v>
      </c>
      <c r="F12" s="165">
        <f t="shared" si="2"/>
        <v>336.75807669260411</v>
      </c>
      <c r="G12" s="235">
        <f t="shared" si="3"/>
        <v>1.593441795650723E-3</v>
      </c>
      <c r="H12" s="236">
        <f t="shared" si="4"/>
        <v>2.2090732120862158</v>
      </c>
      <c r="I12" s="233">
        <f t="shared" si="0"/>
        <v>1.593441795650723E-3</v>
      </c>
      <c r="J12" s="226">
        <v>1.0524E-2</v>
      </c>
      <c r="K12" s="233">
        <f t="shared" si="5"/>
        <v>-8.930558204349277E-3</v>
      </c>
    </row>
    <row r="13" spans="2:13" x14ac:dyDescent="0.25">
      <c r="B13" s="158" t="s">
        <v>81</v>
      </c>
      <c r="C13" s="162">
        <f>Datos!S96</f>
        <v>81890</v>
      </c>
      <c r="D13" s="234">
        <f t="shared" si="1"/>
        <v>1.421545379219441E-2</v>
      </c>
      <c r="E13" s="162">
        <f>'CENSO (2)'!C16</f>
        <v>11400</v>
      </c>
      <c r="F13" s="165">
        <f t="shared" si="2"/>
        <v>162.05617323101629</v>
      </c>
      <c r="G13" s="235">
        <f t="shared" si="3"/>
        <v>7.6680292928869311E-4</v>
      </c>
      <c r="H13" s="236">
        <f t="shared" si="4"/>
        <v>1.0630597331289</v>
      </c>
      <c r="I13" s="233">
        <f t="shared" si="0"/>
        <v>7.6680292928869311E-4</v>
      </c>
      <c r="J13" s="226">
        <v>6.78E-4</v>
      </c>
      <c r="K13" s="233">
        <f t="shared" si="5"/>
        <v>8.880292928869311E-5</v>
      </c>
    </row>
    <row r="14" spans="2:13" x14ac:dyDescent="0.25">
      <c r="B14" s="158" t="s">
        <v>82</v>
      </c>
      <c r="C14" s="162">
        <f>Datos!S97</f>
        <v>9310961</v>
      </c>
      <c r="D14" s="234">
        <f t="shared" si="1"/>
        <v>1.6163089004325832</v>
      </c>
      <c r="E14" s="162">
        <f>'CENSO (2)'!C17</f>
        <v>27273</v>
      </c>
      <c r="F14" s="165">
        <f t="shared" si="2"/>
        <v>44081.592641497846</v>
      </c>
      <c r="G14" s="235">
        <f t="shared" si="3"/>
        <v>0.20858134368646211</v>
      </c>
      <c r="H14" s="236">
        <f t="shared" si="4"/>
        <v>289.16742370909373</v>
      </c>
      <c r="I14" s="233">
        <f t="shared" si="0"/>
        <v>0.20858134368646211</v>
      </c>
      <c r="J14" s="226">
        <v>0.364313</v>
      </c>
      <c r="K14" s="233">
        <f t="shared" si="5"/>
        <v>-0.15573165631353789</v>
      </c>
      <c r="M14" s="104"/>
    </row>
    <row r="15" spans="2:13" x14ac:dyDescent="0.25">
      <c r="B15" s="158" t="s">
        <v>83</v>
      </c>
      <c r="C15" s="162">
        <f>Datos!S98</f>
        <v>3182383</v>
      </c>
      <c r="D15" s="234">
        <f t="shared" si="1"/>
        <v>0.55243642063212872</v>
      </c>
      <c r="E15" s="162">
        <f>'CENSO (2)'!C18</f>
        <v>17698</v>
      </c>
      <c r="F15" s="165">
        <f t="shared" si="2"/>
        <v>9777.0197723474139</v>
      </c>
      <c r="G15" s="235">
        <f t="shared" si="3"/>
        <v>4.6262029095690091E-2</v>
      </c>
      <c r="H15" s="236">
        <f t="shared" si="4"/>
        <v>64.13551438840453</v>
      </c>
      <c r="I15" s="233">
        <f t="shared" si="0"/>
        <v>4.6262029095690091E-2</v>
      </c>
      <c r="J15" s="226">
        <v>6.7258999999999999E-2</v>
      </c>
      <c r="K15" s="233">
        <f t="shared" si="5"/>
        <v>-2.0996970904309908E-2</v>
      </c>
    </row>
    <row r="16" spans="2:13" x14ac:dyDescent="0.25">
      <c r="B16" s="158" t="s">
        <v>84</v>
      </c>
      <c r="C16" s="162">
        <f>Datos!S99</f>
        <v>581941</v>
      </c>
      <c r="D16" s="234">
        <f t="shared" si="1"/>
        <v>0.10102033697989261</v>
      </c>
      <c r="E16" s="162">
        <f>'CENSO (2)'!C19</f>
        <v>13600</v>
      </c>
      <c r="F16" s="165">
        <f t="shared" si="2"/>
        <v>1373.8765829265396</v>
      </c>
      <c r="G16" s="235">
        <f t="shared" si="3"/>
        <v>6.5007865313925625E-3</v>
      </c>
      <c r="H16" s="236">
        <f t="shared" si="4"/>
        <v>9.0123865353523076</v>
      </c>
      <c r="I16" s="233">
        <f t="shared" si="0"/>
        <v>6.5007865313925625E-3</v>
      </c>
      <c r="J16" s="226">
        <v>7.6290000000000004E-3</v>
      </c>
      <c r="K16" s="233">
        <f t="shared" si="5"/>
        <v>-1.1282134686074379E-3</v>
      </c>
    </row>
    <row r="17" spans="2:11" x14ac:dyDescent="0.25">
      <c r="B17" s="158" t="s">
        <v>85</v>
      </c>
      <c r="C17" s="162">
        <f>Datos!S100</f>
        <v>2120104</v>
      </c>
      <c r="D17" s="234">
        <f t="shared" si="1"/>
        <v>0.36803322074302769</v>
      </c>
      <c r="E17" s="162">
        <f>'CENSO (2)'!C20</f>
        <v>34393</v>
      </c>
      <c r="F17" s="165">
        <f t="shared" si="2"/>
        <v>12657.766561014951</v>
      </c>
      <c r="G17" s="235">
        <f t="shared" si="3"/>
        <v>5.9892889506914973E-2</v>
      </c>
      <c r="H17" s="236">
        <f t="shared" si="4"/>
        <v>83.032702019802471</v>
      </c>
      <c r="I17" s="233">
        <f t="shared" si="0"/>
        <v>5.9892889506914973E-2</v>
      </c>
      <c r="J17" s="226">
        <v>5.3082999999999998E-2</v>
      </c>
      <c r="K17" s="233">
        <f t="shared" si="5"/>
        <v>6.8098895069149748E-3</v>
      </c>
    </row>
    <row r="18" spans="2:11" x14ac:dyDescent="0.25">
      <c r="B18" s="158" t="s">
        <v>86</v>
      </c>
      <c r="C18" s="162">
        <f>Datos!S101</f>
        <v>6139057</v>
      </c>
      <c r="D18" s="234">
        <f t="shared" si="1"/>
        <v>1.0656915509970404</v>
      </c>
      <c r="E18" s="162">
        <f>'CENSO (2)'!C21</f>
        <v>23469</v>
      </c>
      <c r="F18" s="165">
        <f t="shared" si="2"/>
        <v>25010.715010349541</v>
      </c>
      <c r="G18" s="235">
        <f t="shared" si="3"/>
        <v>0.11834346789246619</v>
      </c>
      <c r="H18" s="236">
        <f t="shared" si="4"/>
        <v>164.06585132899116</v>
      </c>
      <c r="I18" s="233">
        <f t="shared" si="0"/>
        <v>0.11834346789246619</v>
      </c>
      <c r="J18" s="226">
        <v>4.0325E-2</v>
      </c>
      <c r="K18" s="233">
        <f t="shared" si="5"/>
        <v>7.8018467892466192E-2</v>
      </c>
    </row>
    <row r="19" spans="2:11" x14ac:dyDescent="0.25">
      <c r="B19" s="158" t="s">
        <v>87</v>
      </c>
      <c r="C19" s="162">
        <f>Datos!S102</f>
        <v>4353377</v>
      </c>
      <c r="D19" s="234">
        <f t="shared" si="1"/>
        <v>0.75571168132252931</v>
      </c>
      <c r="E19" s="162">
        <f>'CENSO (2)'!C22</f>
        <v>43120</v>
      </c>
      <c r="F19" s="165">
        <f t="shared" si="2"/>
        <v>32586.287698627464</v>
      </c>
      <c r="G19" s="235">
        <f t="shared" si="3"/>
        <v>0.15418888625940524</v>
      </c>
      <c r="H19" s="236">
        <f t="shared" si="4"/>
        <v>213.76026357960683</v>
      </c>
      <c r="I19" s="233">
        <f t="shared" si="0"/>
        <v>0.15418888625940524</v>
      </c>
      <c r="J19" s="226">
        <v>0.15141299999999999</v>
      </c>
      <c r="K19" s="233">
        <f t="shared" si="5"/>
        <v>2.7758862594052525E-3</v>
      </c>
    </row>
    <row r="20" spans="2:11" x14ac:dyDescent="0.25">
      <c r="B20" s="158" t="s">
        <v>88</v>
      </c>
      <c r="C20" s="162">
        <f>Datos!S103</f>
        <v>1276066</v>
      </c>
      <c r="D20" s="234">
        <f t="shared" si="1"/>
        <v>0.22151492561717367</v>
      </c>
      <c r="E20" s="162">
        <f>'CENSO (2)'!C23</f>
        <v>7510</v>
      </c>
      <c r="F20" s="165">
        <f t="shared" si="2"/>
        <v>1663.5770913849742</v>
      </c>
      <c r="G20" s="235">
        <f t="shared" si="3"/>
        <v>7.8715655277945031E-3</v>
      </c>
      <c r="H20" s="236">
        <f t="shared" si="4"/>
        <v>10.912770452045875</v>
      </c>
      <c r="I20" s="233">
        <f t="shared" si="0"/>
        <v>7.8715655277945031E-3</v>
      </c>
      <c r="J20" s="226">
        <v>7.8689999999999993E-3</v>
      </c>
      <c r="K20" s="233">
        <f t="shared" si="5"/>
        <v>2.5655277945037941E-6</v>
      </c>
    </row>
    <row r="21" spans="2:11" x14ac:dyDescent="0.25">
      <c r="B21" s="158" t="s">
        <v>89</v>
      </c>
      <c r="C21" s="162">
        <f>Datos!S104</f>
        <v>2538386</v>
      </c>
      <c r="D21" s="234">
        <f t="shared" si="1"/>
        <v>0.44064365477778972</v>
      </c>
      <c r="E21" s="162">
        <f>'CENSO (2)'!C24</f>
        <v>22412</v>
      </c>
      <c r="F21" s="165">
        <f t="shared" si="2"/>
        <v>9875.7055908798229</v>
      </c>
      <c r="G21" s="235">
        <f t="shared" si="3"/>
        <v>4.6728981839428085E-2</v>
      </c>
      <c r="H21" s="236">
        <f t="shared" si="4"/>
        <v>64.78287584228211</v>
      </c>
      <c r="I21" s="233">
        <f t="shared" si="0"/>
        <v>4.6728981839428085E-2</v>
      </c>
      <c r="J21" s="226">
        <v>8.7175000000000002E-2</v>
      </c>
      <c r="K21" s="233">
        <f t="shared" si="5"/>
        <v>-4.0446018160571917E-2</v>
      </c>
    </row>
    <row r="22" spans="2:11" x14ac:dyDescent="0.25">
      <c r="B22" s="158" t="s">
        <v>90</v>
      </c>
      <c r="C22" s="162">
        <f>Datos!S105</f>
        <v>12549885</v>
      </c>
      <c r="D22" s="234">
        <f t="shared" si="1"/>
        <v>2.1785603897283399</v>
      </c>
      <c r="E22" s="162">
        <f>'CENSO (2)'!C25</f>
        <v>93074</v>
      </c>
      <c r="F22" s="165">
        <f t="shared" si="2"/>
        <v>202767.32971357551</v>
      </c>
      <c r="G22" s="235">
        <f t="shared" si="3"/>
        <v>0.95943634412970213</v>
      </c>
      <c r="H22" s="236">
        <f t="shared" si="4"/>
        <v>1330.1176938523311</v>
      </c>
      <c r="I22" s="233">
        <f t="shared" si="0"/>
        <v>0.95943634412970213</v>
      </c>
      <c r="J22" s="226">
        <v>1.2821199999999999</v>
      </c>
      <c r="K22" s="233">
        <f t="shared" si="5"/>
        <v>-0.32268365587029779</v>
      </c>
    </row>
    <row r="23" spans="2:11" x14ac:dyDescent="0.25">
      <c r="B23" s="158" t="s">
        <v>91</v>
      </c>
      <c r="C23" s="162">
        <f>Datos!S106</f>
        <v>12319331</v>
      </c>
      <c r="D23" s="234">
        <f t="shared" si="1"/>
        <v>2.1385380459304941</v>
      </c>
      <c r="E23" s="162">
        <f>'CENSO (2)'!C26</f>
        <v>39756</v>
      </c>
      <c r="F23" s="165">
        <f t="shared" si="2"/>
        <v>85019.718554012725</v>
      </c>
      <c r="G23" s="235">
        <f t="shared" si="3"/>
        <v>0.40228871220834</v>
      </c>
      <c r="H23" s="236">
        <f t="shared" si="4"/>
        <v>557.71426360834687</v>
      </c>
      <c r="I23" s="233">
        <f t="shared" si="0"/>
        <v>0.40228871220834</v>
      </c>
      <c r="J23" s="226">
        <v>0.39474799999999999</v>
      </c>
      <c r="K23" s="233">
        <f t="shared" si="5"/>
        <v>7.5407122083400169E-3</v>
      </c>
    </row>
    <row r="24" spans="2:11" x14ac:dyDescent="0.25">
      <c r="B24" s="158" t="s">
        <v>92</v>
      </c>
      <c r="C24" s="162">
        <f>Datos!S107</f>
        <v>236317850</v>
      </c>
      <c r="D24" s="234">
        <f t="shared" si="1"/>
        <v>41.022902392791913</v>
      </c>
      <c r="E24" s="162">
        <f>'CENSO (2)'!C27</f>
        <v>380249</v>
      </c>
      <c r="F24" s="165">
        <f t="shared" si="2"/>
        <v>15598917.611956732</v>
      </c>
      <c r="G24" s="235">
        <f t="shared" si="3"/>
        <v>73.809565412421506</v>
      </c>
      <c r="H24" s="236">
        <f t="shared" si="4"/>
        <v>102326.13089059814</v>
      </c>
      <c r="I24" s="233">
        <f t="shared" si="0"/>
        <v>73.809565412421506</v>
      </c>
      <c r="J24" s="226">
        <v>66.428610000000006</v>
      </c>
      <c r="K24" s="233">
        <f t="shared" si="5"/>
        <v>7.3809554124214998</v>
      </c>
    </row>
    <row r="25" spans="2:11" x14ac:dyDescent="0.25">
      <c r="B25" s="158" t="s">
        <v>93</v>
      </c>
      <c r="C25" s="162">
        <f>Datos!S108</f>
        <v>1516592</v>
      </c>
      <c r="D25" s="234">
        <f t="shared" si="1"/>
        <v>0.26326832943719264</v>
      </c>
      <c r="E25" s="162">
        <f>'CENSO (2)'!C28</f>
        <v>30030</v>
      </c>
      <c r="F25" s="165">
        <f t="shared" si="2"/>
        <v>7905.9479329988953</v>
      </c>
      <c r="G25" s="235">
        <f t="shared" si="3"/>
        <v>3.7408658448237153E-2</v>
      </c>
      <c r="H25" s="236">
        <f t="shared" si="4"/>
        <v>51.86161521785354</v>
      </c>
      <c r="I25" s="233">
        <f t="shared" si="0"/>
        <v>3.7408658448237153E-2</v>
      </c>
      <c r="J25" s="226">
        <v>4.3832000000000003E-2</v>
      </c>
      <c r="K25" s="233">
        <f t="shared" si="5"/>
        <v>-6.4233415517628498E-3</v>
      </c>
    </row>
    <row r="26" spans="2:11" ht="15.75" thickBot="1" x14ac:dyDescent="0.3">
      <c r="B26" s="158" t="s">
        <v>94</v>
      </c>
      <c r="C26" s="174">
        <f>Datos!S109</f>
        <v>27689428</v>
      </c>
      <c r="D26" s="237">
        <f t="shared" si="1"/>
        <v>4.8066648463340345</v>
      </c>
      <c r="E26" s="174">
        <f>'CENSO (2)'!C29</f>
        <v>49102</v>
      </c>
      <c r="F26" s="165">
        <f t="shared" si="2"/>
        <v>236016.85728469375</v>
      </c>
      <c r="G26" s="235">
        <f t="shared" si="3"/>
        <v>1.1167634895921184</v>
      </c>
      <c r="H26" s="236">
        <f t="shared" si="4"/>
        <v>1548.2286932773745</v>
      </c>
      <c r="I26" s="233">
        <f t="shared" si="0"/>
        <v>1.1167634895921184</v>
      </c>
      <c r="J26" s="226">
        <v>1.431076</v>
      </c>
      <c r="K26" s="233">
        <f t="shared" si="5"/>
        <v>-0.31431251040788166</v>
      </c>
    </row>
    <row r="27" spans="2:11" ht="15.75" thickBot="1" x14ac:dyDescent="0.3">
      <c r="B27" s="238" t="s">
        <v>95</v>
      </c>
      <c r="C27" s="239">
        <f t="shared" ref="C27:F27" si="6">SUM(C7:C26)</f>
        <v>576063214</v>
      </c>
      <c r="D27" s="240">
        <f t="shared" si="6"/>
        <v>99.999999999999986</v>
      </c>
      <c r="E27" s="239">
        <f t="shared" si="6"/>
        <v>1084979</v>
      </c>
      <c r="F27" s="241">
        <f t="shared" si="6"/>
        <v>21134005.497519933</v>
      </c>
      <c r="G27" s="242">
        <f t="shared" si="3"/>
        <v>100</v>
      </c>
      <c r="H27" s="243">
        <f>Datos!M33</f>
        <v>138635.32500000001</v>
      </c>
      <c r="I27" s="244">
        <f t="shared" ref="I27:K27" si="7">SUM(I7:I26)</f>
        <v>99.999999999999986</v>
      </c>
      <c r="J27" s="243">
        <f t="shared" si="7"/>
        <v>99.999999000000003</v>
      </c>
      <c r="K27" s="243">
        <f t="shared" si="7"/>
        <v>9.9999998115496425E-7</v>
      </c>
    </row>
    <row r="28" spans="2:11" x14ac:dyDescent="0.25">
      <c r="B28" s="128" t="s">
        <v>96</v>
      </c>
      <c r="C28" s="73"/>
      <c r="D28" s="73"/>
      <c r="E28" s="198"/>
      <c r="F28" s="198"/>
    </row>
    <row r="29" spans="2:11" x14ac:dyDescent="0.25">
      <c r="B29" s="135" t="s">
        <v>222</v>
      </c>
      <c r="C29" s="73"/>
      <c r="D29" s="73"/>
      <c r="E29" s="198"/>
      <c r="F29" s="198"/>
    </row>
    <row r="34" spans="4:8" x14ac:dyDescent="0.25">
      <c r="D34" s="399"/>
      <c r="E34" s="399"/>
      <c r="F34" s="399"/>
      <c r="G34" s="399"/>
      <c r="H34" s="399"/>
    </row>
  </sheetData>
  <mergeCells count="6">
    <mergeCell ref="D34:H34"/>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H116"/>
  <sheetViews>
    <sheetView topLeftCell="E25" zoomScale="78" zoomScaleNormal="78" workbookViewId="0">
      <selection activeCell="B32" sqref="B32:S32"/>
    </sheetView>
  </sheetViews>
  <sheetFormatPr baseColWidth="10" defaultRowHeight="15" x14ac:dyDescent="0.25"/>
  <cols>
    <col min="1" max="1" width="9.44140625" style="75" customWidth="1"/>
    <col min="2" max="2" width="5.5546875" style="245" customWidth="1"/>
    <col min="3" max="3" width="21.6640625" style="75" customWidth="1"/>
    <col min="4" max="4" width="12.77734375" style="75" customWidth="1"/>
    <col min="5" max="7" width="13.21875" style="75" customWidth="1"/>
    <col min="8" max="8" width="13.21875" style="75" bestFit="1" customWidth="1"/>
    <col min="9" max="9" width="16.21875" style="74" customWidth="1"/>
    <col min="10" max="10" width="10.44140625" style="74" customWidth="1"/>
    <col min="11" max="11" width="15.33203125" style="75" customWidth="1"/>
    <col min="12" max="12" width="16" style="104" bestFit="1" customWidth="1"/>
    <col min="13" max="16" width="13.21875" style="104" customWidth="1"/>
    <col min="17" max="22" width="13.21875" style="104" bestFit="1" customWidth="1"/>
    <col min="23" max="23" width="20.5546875" style="104" hidden="1" customWidth="1"/>
    <col min="24" max="26" width="13.21875" style="104" hidden="1" customWidth="1"/>
    <col min="27" max="27" width="10.33203125" style="286" hidden="1" customWidth="1"/>
    <col min="28" max="28" width="12.5546875" style="104" hidden="1" customWidth="1"/>
    <col min="29" max="29" width="14.33203125" style="104" bestFit="1" customWidth="1"/>
    <col min="30" max="30" width="14.33203125" style="75" customWidth="1"/>
    <col min="31" max="31" width="11.6640625" style="75" bestFit="1" customWidth="1"/>
    <col min="32" max="16384" width="11.5546875" style="75"/>
  </cols>
  <sheetData>
    <row r="2" spans="2:16" x14ac:dyDescent="0.25">
      <c r="C2" s="73"/>
      <c r="D2" s="73"/>
      <c r="E2" s="73"/>
      <c r="F2" s="73"/>
      <c r="G2" s="73"/>
      <c r="H2" s="73"/>
      <c r="K2" s="76"/>
    </row>
    <row r="3" spans="2:16" x14ac:dyDescent="0.25">
      <c r="C3" s="73"/>
      <c r="D3" s="73"/>
      <c r="E3" s="73"/>
      <c r="F3" s="73"/>
      <c r="G3" s="73"/>
      <c r="H3" s="73"/>
      <c r="I3" s="198"/>
      <c r="J3" s="198"/>
    </row>
    <row r="4" spans="2:16" ht="15.75" thickBot="1" x14ac:dyDescent="0.3">
      <c r="C4" s="400" t="s">
        <v>146</v>
      </c>
      <c r="D4" s="400"/>
      <c r="E4" s="400"/>
      <c r="F4" s="400"/>
      <c r="G4" s="400"/>
      <c r="H4" s="400"/>
      <c r="I4" s="400"/>
      <c r="J4" s="400"/>
      <c r="K4" s="400"/>
    </row>
    <row r="5" spans="2:16" x14ac:dyDescent="0.25">
      <c r="B5" s="410" t="s">
        <v>147</v>
      </c>
      <c r="C5" s="411"/>
      <c r="D5" s="411"/>
      <c r="E5" s="411"/>
      <c r="F5" s="411"/>
      <c r="G5" s="411"/>
      <c r="H5" s="411"/>
      <c r="I5" s="411"/>
      <c r="J5" s="411"/>
      <c r="K5" s="411"/>
      <c r="L5" s="104" t="s">
        <v>148</v>
      </c>
    </row>
    <row r="6" spans="2:16" ht="15.75" thickBot="1" x14ac:dyDescent="0.3">
      <c r="B6" s="412" t="s">
        <v>149</v>
      </c>
      <c r="C6" s="413"/>
      <c r="D6" s="413"/>
      <c r="E6" s="413"/>
      <c r="F6" s="413"/>
      <c r="G6" s="413"/>
      <c r="H6" s="414"/>
      <c r="I6" s="246"/>
      <c r="J6" s="247"/>
      <c r="K6" s="248" t="s">
        <v>150</v>
      </c>
    </row>
    <row r="7" spans="2:16" ht="15.75" thickBot="1" x14ac:dyDescent="0.3">
      <c r="B7" s="249"/>
      <c r="C7" s="199"/>
      <c r="D7" s="250"/>
      <c r="E7" s="250"/>
      <c r="F7" s="251"/>
      <c r="G7" s="252"/>
      <c r="H7" s="253"/>
      <c r="I7" s="254"/>
      <c r="J7" s="255"/>
      <c r="K7" s="256"/>
      <c r="M7" s="257">
        <v>79519983.979999989</v>
      </c>
      <c r="N7" s="258"/>
    </row>
    <row r="8" spans="2:16" ht="15.75" thickBot="1" x14ac:dyDescent="0.3">
      <c r="B8" s="415" t="s">
        <v>151</v>
      </c>
      <c r="C8" s="416"/>
      <c r="D8" s="416"/>
      <c r="E8" s="416"/>
      <c r="F8" s="416"/>
      <c r="G8" s="416"/>
      <c r="H8" s="416"/>
      <c r="I8" s="416"/>
      <c r="J8" s="416"/>
      <c r="K8" s="416"/>
      <c r="M8" s="259">
        <v>0.22500000000000001</v>
      </c>
      <c r="N8" s="260"/>
    </row>
    <row r="9" spans="2:16" x14ac:dyDescent="0.25">
      <c r="B9" s="261">
        <v>1</v>
      </c>
      <c r="C9" s="405" t="s">
        <v>152</v>
      </c>
      <c r="D9" s="406"/>
      <c r="E9" s="406"/>
      <c r="F9" s="406"/>
      <c r="G9" s="406"/>
      <c r="H9" s="407"/>
      <c r="I9" s="262"/>
      <c r="J9" s="263"/>
      <c r="K9" s="257">
        <v>437696804</v>
      </c>
      <c r="L9" s="258">
        <v>-13983426</v>
      </c>
      <c r="M9" s="264">
        <f>M7/M8</f>
        <v>353422151.02222216</v>
      </c>
      <c r="N9" s="170"/>
      <c r="O9" s="265"/>
      <c r="P9" s="265"/>
    </row>
    <row r="10" spans="2:16" x14ac:dyDescent="0.25">
      <c r="B10" s="261">
        <v>2</v>
      </c>
      <c r="C10" s="405" t="s">
        <v>153</v>
      </c>
      <c r="D10" s="406"/>
      <c r="E10" s="406"/>
      <c r="F10" s="406"/>
      <c r="G10" s="406"/>
      <c r="H10" s="407"/>
      <c r="I10" s="408">
        <v>353422151</v>
      </c>
      <c r="J10" s="409"/>
      <c r="K10" s="409"/>
      <c r="L10" s="266">
        <f>L9*22.5%</f>
        <v>-3146270.85</v>
      </c>
      <c r="M10" s="264">
        <f>M9/100</f>
        <v>3534221.5102222217</v>
      </c>
      <c r="N10" s="170"/>
    </row>
    <row r="11" spans="2:16" x14ac:dyDescent="0.25">
      <c r="B11" s="261">
        <v>3</v>
      </c>
      <c r="C11" s="267" t="s">
        <v>154</v>
      </c>
      <c r="D11" s="265"/>
      <c r="E11" s="265"/>
      <c r="F11" s="265"/>
      <c r="G11" s="265"/>
      <c r="H11" s="268"/>
      <c r="I11" s="269"/>
      <c r="J11" s="270"/>
      <c r="K11" s="258">
        <f>K9-I10</f>
        <v>84274653</v>
      </c>
      <c r="L11" s="271"/>
    </row>
    <row r="12" spans="2:16" x14ac:dyDescent="0.25">
      <c r="B12" s="261">
        <v>4</v>
      </c>
      <c r="C12" s="405" t="s">
        <v>155</v>
      </c>
      <c r="D12" s="406"/>
      <c r="E12" s="406"/>
      <c r="F12" s="406"/>
      <c r="G12" s="406"/>
      <c r="H12" s="407"/>
      <c r="I12" s="417">
        <f>K11*22.5%</f>
        <v>18961796.925000001</v>
      </c>
      <c r="J12" s="418"/>
      <c r="K12" s="418"/>
      <c r="L12" s="271"/>
      <c r="N12" s="170">
        <f>K9-I10</f>
        <v>84274653</v>
      </c>
    </row>
    <row r="13" spans="2:16" x14ac:dyDescent="0.25">
      <c r="B13" s="261">
        <v>5</v>
      </c>
      <c r="C13" s="405" t="s">
        <v>156</v>
      </c>
      <c r="D13" s="406"/>
      <c r="E13" s="406"/>
      <c r="F13" s="406"/>
      <c r="G13" s="406"/>
      <c r="H13" s="407"/>
      <c r="I13" s="417">
        <f>I10*22.5%</f>
        <v>79519983.975000009</v>
      </c>
      <c r="J13" s="418"/>
      <c r="K13" s="418"/>
      <c r="L13" s="271"/>
    </row>
    <row r="14" spans="2:16" ht="15.75" thickBot="1" x14ac:dyDescent="0.3">
      <c r="B14" s="261">
        <v>6</v>
      </c>
      <c r="C14" s="405" t="s">
        <v>157</v>
      </c>
      <c r="D14" s="406"/>
      <c r="E14" s="406"/>
      <c r="F14" s="406"/>
      <c r="G14" s="406"/>
      <c r="H14" s="407"/>
      <c r="I14" s="419"/>
      <c r="J14" s="420"/>
      <c r="K14" s="420"/>
      <c r="L14" s="271"/>
    </row>
    <row r="15" spans="2:16" x14ac:dyDescent="0.25">
      <c r="B15" s="272"/>
      <c r="C15" s="421" t="s">
        <v>158</v>
      </c>
      <c r="D15" s="422"/>
      <c r="E15" s="422"/>
      <c r="F15" s="422"/>
      <c r="G15" s="422"/>
      <c r="H15" s="422"/>
      <c r="I15" s="423">
        <f>I12*60%</f>
        <v>11377078.154999999</v>
      </c>
      <c r="J15" s="423"/>
      <c r="K15" s="424"/>
      <c r="L15" s="266">
        <f>L10*60%</f>
        <v>-1887762.51</v>
      </c>
    </row>
    <row r="16" spans="2:16" x14ac:dyDescent="0.25">
      <c r="B16" s="272"/>
      <c r="C16" s="425" t="s">
        <v>159</v>
      </c>
      <c r="D16" s="426"/>
      <c r="E16" s="426"/>
      <c r="F16" s="426"/>
      <c r="G16" s="426"/>
      <c r="H16" s="426"/>
      <c r="I16" s="427">
        <f>I12*30%</f>
        <v>5688539.0774999997</v>
      </c>
      <c r="J16" s="427"/>
      <c r="K16" s="428"/>
      <c r="L16" s="266">
        <f>L10*30%</f>
        <v>-943881.255</v>
      </c>
    </row>
    <row r="17" spans="2:17" x14ac:dyDescent="0.25">
      <c r="B17" s="272"/>
      <c r="C17" s="425" t="s">
        <v>160</v>
      </c>
      <c r="D17" s="426"/>
      <c r="E17" s="426"/>
      <c r="F17" s="426"/>
      <c r="G17" s="426"/>
      <c r="H17" s="426"/>
      <c r="I17" s="427">
        <f>I12*10%</f>
        <v>1896179.6925000001</v>
      </c>
      <c r="J17" s="427"/>
      <c r="K17" s="428"/>
      <c r="L17" s="266">
        <f>L10*10%</f>
        <v>-314627.08500000002</v>
      </c>
    </row>
    <row r="18" spans="2:17" x14ac:dyDescent="0.25">
      <c r="B18" s="272"/>
      <c r="C18" s="425" t="s">
        <v>161</v>
      </c>
      <c r="D18" s="426"/>
      <c r="E18" s="426"/>
      <c r="F18" s="426"/>
      <c r="G18" s="426"/>
      <c r="H18" s="426"/>
      <c r="I18" s="273">
        <f>SUM(I15:I17)</f>
        <v>18961796.924999997</v>
      </c>
      <c r="J18" s="273"/>
      <c r="K18" s="274">
        <f>SUM(I18)</f>
        <v>18961796.924999997</v>
      </c>
      <c r="L18" s="266">
        <f>SUM(L15:L17)</f>
        <v>-3146270.85</v>
      </c>
    </row>
    <row r="19" spans="2:17" ht="15.75" thickBot="1" x14ac:dyDescent="0.3">
      <c r="B19" s="275">
        <v>6</v>
      </c>
      <c r="C19" s="429" t="s">
        <v>162</v>
      </c>
      <c r="D19" s="430"/>
      <c r="E19" s="430"/>
      <c r="F19" s="430"/>
      <c r="G19" s="430"/>
      <c r="H19" s="430"/>
      <c r="I19" s="431">
        <f>I12+I13</f>
        <v>98481780.900000006</v>
      </c>
      <c r="J19" s="431"/>
      <c r="K19" s="432"/>
      <c r="L19" s="266"/>
    </row>
    <row r="20" spans="2:17" ht="11.25" customHeight="1" thickBot="1" x14ac:dyDescent="0.3">
      <c r="B20" s="276"/>
      <c r="C20" s="406"/>
      <c r="D20" s="406"/>
      <c r="E20" s="406"/>
      <c r="F20" s="406"/>
      <c r="G20" s="406"/>
      <c r="H20" s="406"/>
      <c r="I20" s="433"/>
      <c r="J20" s="420"/>
      <c r="K20" s="420"/>
      <c r="L20" s="266"/>
    </row>
    <row r="21" spans="2:17" ht="15.75" thickBot="1" x14ac:dyDescent="0.3">
      <c r="B21" s="415" t="s">
        <v>163</v>
      </c>
      <c r="C21" s="416"/>
      <c r="D21" s="416"/>
      <c r="E21" s="416"/>
      <c r="F21" s="416"/>
      <c r="G21" s="416"/>
      <c r="H21" s="416"/>
      <c r="I21" s="416"/>
      <c r="J21" s="416"/>
      <c r="K21" s="416"/>
      <c r="L21" s="266"/>
    </row>
    <row r="22" spans="2:17" x14ac:dyDescent="0.25">
      <c r="B22" s="277">
        <v>7</v>
      </c>
      <c r="C22" s="406" t="s">
        <v>164</v>
      </c>
      <c r="D22" s="406"/>
      <c r="E22" s="406"/>
      <c r="F22" s="406"/>
      <c r="G22" s="406"/>
      <c r="H22" s="406"/>
      <c r="I22" s="278"/>
      <c r="J22" s="270"/>
      <c r="K22" s="257">
        <v>39036286</v>
      </c>
      <c r="L22" s="266">
        <v>-656705</v>
      </c>
    </row>
    <row r="23" spans="2:17" x14ac:dyDescent="0.25">
      <c r="B23" s="277">
        <v>8</v>
      </c>
      <c r="C23" s="406" t="s">
        <v>165</v>
      </c>
      <c r="D23" s="406"/>
      <c r="E23" s="406"/>
      <c r="F23" s="406"/>
      <c r="G23" s="406"/>
      <c r="H23" s="406"/>
      <c r="I23" s="278"/>
      <c r="J23" s="270"/>
      <c r="K23" s="257">
        <v>35431649</v>
      </c>
      <c r="L23" s="271"/>
    </row>
    <row r="24" spans="2:17" x14ac:dyDescent="0.25">
      <c r="B24" s="277">
        <v>9</v>
      </c>
      <c r="C24" s="265" t="s">
        <v>166</v>
      </c>
      <c r="D24" s="265"/>
      <c r="E24" s="265"/>
      <c r="F24" s="265"/>
      <c r="G24" s="265"/>
      <c r="H24" s="265"/>
      <c r="I24" s="278"/>
      <c r="J24" s="270"/>
      <c r="K24" s="258">
        <f>K22-K23</f>
        <v>3604637</v>
      </c>
      <c r="L24" s="271"/>
    </row>
    <row r="25" spans="2:17" x14ac:dyDescent="0.25">
      <c r="B25" s="277">
        <v>10</v>
      </c>
      <c r="C25" s="406" t="s">
        <v>167</v>
      </c>
      <c r="D25" s="406"/>
      <c r="E25" s="406"/>
      <c r="F25" s="406"/>
      <c r="G25" s="406"/>
      <c r="H25" s="406"/>
      <c r="I25" s="278"/>
      <c r="J25" s="270"/>
      <c r="K25" s="258">
        <f>K24</f>
        <v>3604637</v>
      </c>
      <c r="L25" s="271"/>
    </row>
    <row r="26" spans="2:17" x14ac:dyDescent="0.25">
      <c r="B26" s="272"/>
      <c r="C26" s="426" t="s">
        <v>168</v>
      </c>
      <c r="D26" s="426"/>
      <c r="E26" s="426"/>
      <c r="F26" s="426"/>
      <c r="G26" s="426"/>
      <c r="H26" s="426"/>
      <c r="I26" s="279"/>
      <c r="J26" s="279"/>
      <c r="K26" s="273">
        <f>K25-K29</f>
        <v>2408492</v>
      </c>
      <c r="L26" s="266"/>
    </row>
    <row r="27" spans="2:17" x14ac:dyDescent="0.25">
      <c r="B27" s="272"/>
      <c r="C27" s="435">
        <v>0.5</v>
      </c>
      <c r="D27" s="426"/>
      <c r="E27" s="426"/>
      <c r="F27" s="426"/>
      <c r="G27" s="426"/>
      <c r="H27" s="426"/>
      <c r="I27" s="279"/>
      <c r="J27" s="279"/>
      <c r="K27" s="273">
        <f>K26*0.5</f>
        <v>1204246</v>
      </c>
      <c r="L27" s="266">
        <f>L22*C27</f>
        <v>-328352.5</v>
      </c>
    </row>
    <row r="28" spans="2:17" x14ac:dyDescent="0.25">
      <c r="B28" s="272"/>
      <c r="C28" s="435">
        <v>0.5</v>
      </c>
      <c r="D28" s="426"/>
      <c r="E28" s="426"/>
      <c r="F28" s="426"/>
      <c r="G28" s="426"/>
      <c r="H28" s="426"/>
      <c r="I28" s="279"/>
      <c r="J28" s="279"/>
      <c r="K28" s="273">
        <f>K26*0.5</f>
        <v>1204246</v>
      </c>
      <c r="L28" s="266">
        <f>L22*C28</f>
        <v>-328352.5</v>
      </c>
    </row>
    <row r="29" spans="2:17" x14ac:dyDescent="0.25">
      <c r="B29" s="272"/>
      <c r="C29" s="426" t="s">
        <v>169</v>
      </c>
      <c r="D29" s="426"/>
      <c r="E29" s="426"/>
      <c r="F29" s="426"/>
      <c r="G29" s="426"/>
      <c r="H29" s="426"/>
      <c r="I29" s="279"/>
      <c r="J29" s="279"/>
      <c r="K29" s="273">
        <v>1196145</v>
      </c>
      <c r="L29" s="266"/>
    </row>
    <row r="30" spans="2:17" ht="15.75" thickBot="1" x14ac:dyDescent="0.3">
      <c r="B30" s="275">
        <v>8</v>
      </c>
      <c r="C30" s="430" t="s">
        <v>170</v>
      </c>
      <c r="D30" s="430"/>
      <c r="E30" s="430"/>
      <c r="F30" s="430"/>
      <c r="G30" s="430"/>
      <c r="H30" s="430"/>
      <c r="I30" s="280"/>
      <c r="J30" s="280"/>
      <c r="K30" s="281">
        <f>K23+K24</f>
        <v>39036286</v>
      </c>
      <c r="L30" s="266">
        <f>SUM(L27:L29)</f>
        <v>-656705</v>
      </c>
      <c r="O30" s="104">
        <v>437696804</v>
      </c>
    </row>
    <row r="31" spans="2:17" ht="15.75" thickBot="1" x14ac:dyDescent="0.3">
      <c r="B31" s="276"/>
      <c r="C31" s="282"/>
      <c r="D31" s="138"/>
      <c r="E31" s="138"/>
      <c r="F31" s="138"/>
      <c r="G31" s="138"/>
      <c r="H31" s="283"/>
      <c r="I31" s="278"/>
      <c r="J31" s="270"/>
      <c r="K31" s="270"/>
      <c r="L31" s="271"/>
    </row>
    <row r="32" spans="2:17" ht="15.75" thickBot="1" x14ac:dyDescent="0.3">
      <c r="B32" s="415" t="s">
        <v>171</v>
      </c>
      <c r="C32" s="416"/>
      <c r="D32" s="416"/>
      <c r="E32" s="416"/>
      <c r="F32" s="416"/>
      <c r="G32" s="416"/>
      <c r="H32" s="416"/>
      <c r="I32" s="416"/>
      <c r="J32" s="416"/>
      <c r="K32" s="416"/>
      <c r="L32" s="434" t="s">
        <v>172</v>
      </c>
      <c r="M32" s="434"/>
      <c r="Q32" s="104">
        <v>79519983.979999989</v>
      </c>
    </row>
    <row r="33" spans="2:17" x14ac:dyDescent="0.25">
      <c r="B33" s="276">
        <v>9</v>
      </c>
      <c r="C33" s="406" t="s">
        <v>173</v>
      </c>
      <c r="D33" s="406"/>
      <c r="E33" s="406"/>
      <c r="F33" s="406"/>
      <c r="G33" s="406"/>
      <c r="H33" s="406"/>
      <c r="I33" s="284">
        <f>K33*22.5%</f>
        <v>138635.32500000001</v>
      </c>
      <c r="J33" s="270"/>
      <c r="K33" s="257">
        <v>616157</v>
      </c>
      <c r="L33" s="266">
        <v>616157</v>
      </c>
      <c r="M33" s="170">
        <f>L33*22.5%</f>
        <v>138635.32500000001</v>
      </c>
      <c r="Q33" s="104">
        <v>0.22500000000000001</v>
      </c>
    </row>
    <row r="34" spans="2:17" x14ac:dyDescent="0.25">
      <c r="B34" s="276">
        <v>10</v>
      </c>
      <c r="C34" s="406" t="s">
        <v>174</v>
      </c>
      <c r="D34" s="406"/>
      <c r="E34" s="406"/>
      <c r="F34" s="406"/>
      <c r="G34" s="406"/>
      <c r="H34" s="406"/>
      <c r="I34" s="284">
        <f t="shared" ref="I34:I35" si="0">K34*22.5%</f>
        <v>4226222.4750000006</v>
      </c>
      <c r="J34" s="270"/>
      <c r="K34" s="258">
        <v>18783211</v>
      </c>
      <c r="Q34" s="104">
        <v>353422151.02222216</v>
      </c>
    </row>
    <row r="35" spans="2:17" x14ac:dyDescent="0.25">
      <c r="B35" s="276">
        <v>11</v>
      </c>
      <c r="C35" s="265" t="s">
        <v>175</v>
      </c>
      <c r="D35" s="265"/>
      <c r="E35" s="265"/>
      <c r="F35" s="265"/>
      <c r="G35" s="265"/>
      <c r="H35" s="265"/>
      <c r="I35" s="284">
        <f t="shared" si="0"/>
        <v>-4087587.15</v>
      </c>
      <c r="J35" s="270"/>
      <c r="K35" s="285">
        <f>K33-K34</f>
        <v>-18167054</v>
      </c>
      <c r="Q35" s="104">
        <v>3534221.5102222217</v>
      </c>
    </row>
    <row r="36" spans="2:17" ht="15.75" thickBot="1" x14ac:dyDescent="0.3">
      <c r="B36" s="276"/>
      <c r="C36" s="282"/>
      <c r="D36" s="138"/>
      <c r="E36" s="138"/>
      <c r="F36" s="138"/>
      <c r="G36" s="138"/>
      <c r="H36" s="283"/>
      <c r="I36" s="278"/>
      <c r="J36" s="270"/>
      <c r="K36" s="270"/>
    </row>
    <row r="37" spans="2:17" ht="15.75" thickBot="1" x14ac:dyDescent="0.3">
      <c r="B37" s="415" t="s">
        <v>176</v>
      </c>
      <c r="C37" s="416"/>
      <c r="D37" s="416"/>
      <c r="E37" s="416"/>
      <c r="F37" s="416"/>
      <c r="G37" s="416"/>
      <c r="H37" s="416"/>
      <c r="I37" s="416"/>
      <c r="J37" s="416"/>
      <c r="K37" s="416"/>
    </row>
    <row r="38" spans="2:17" x14ac:dyDescent="0.25">
      <c r="B38" s="276">
        <v>12</v>
      </c>
      <c r="C38" s="406" t="s">
        <v>177</v>
      </c>
      <c r="D38" s="406"/>
      <c r="E38" s="406"/>
      <c r="F38" s="406"/>
      <c r="G38" s="406"/>
      <c r="H38" s="406"/>
      <c r="I38" s="437">
        <v>0</v>
      </c>
      <c r="J38" s="409"/>
      <c r="K38" s="438"/>
    </row>
    <row r="39" spans="2:17" x14ac:dyDescent="0.25">
      <c r="B39" s="276">
        <v>13</v>
      </c>
      <c r="C39" s="406" t="s">
        <v>178</v>
      </c>
      <c r="D39" s="406"/>
      <c r="E39" s="406"/>
      <c r="F39" s="406"/>
      <c r="G39" s="406"/>
      <c r="H39" s="406"/>
      <c r="I39" s="278"/>
      <c r="J39" s="270"/>
      <c r="K39" s="258">
        <v>0</v>
      </c>
      <c r="L39" s="170"/>
      <c r="M39" s="170"/>
    </row>
    <row r="40" spans="2:17" x14ac:dyDescent="0.25">
      <c r="B40" s="276">
        <v>14</v>
      </c>
      <c r="C40" s="265" t="s">
        <v>179</v>
      </c>
      <c r="D40" s="265"/>
      <c r="E40" s="265"/>
      <c r="F40" s="265"/>
      <c r="G40" s="265"/>
      <c r="H40" s="265"/>
      <c r="I40" s="278"/>
      <c r="J40" s="270"/>
      <c r="K40" s="285">
        <f>I38-K39</f>
        <v>0</v>
      </c>
      <c r="L40" s="170"/>
      <c r="M40" s="170"/>
    </row>
    <row r="41" spans="2:17" x14ac:dyDescent="0.25">
      <c r="B41" s="276"/>
      <c r="C41" s="265"/>
      <c r="D41" s="265"/>
      <c r="E41" s="265"/>
      <c r="F41" s="265"/>
      <c r="G41" s="265"/>
      <c r="H41" s="265"/>
      <c r="I41" s="278"/>
      <c r="J41" s="270"/>
      <c r="K41" s="270"/>
      <c r="L41" s="170"/>
      <c r="M41" s="170"/>
    </row>
    <row r="42" spans="2:17" x14ac:dyDescent="0.25">
      <c r="B42" s="439" t="s">
        <v>180</v>
      </c>
      <c r="C42" s="440"/>
      <c r="D42" s="440"/>
      <c r="E42" s="440"/>
      <c r="F42" s="440"/>
      <c r="G42" s="440"/>
      <c r="H42" s="440"/>
      <c r="I42" s="440"/>
      <c r="J42" s="440"/>
      <c r="K42" s="440"/>
      <c r="M42" s="170"/>
    </row>
    <row r="43" spans="2:17" x14ac:dyDescent="0.25">
      <c r="B43" s="276">
        <v>15</v>
      </c>
      <c r="C43" s="406" t="s">
        <v>181</v>
      </c>
      <c r="D43" s="406"/>
      <c r="E43" s="406"/>
      <c r="F43" s="406"/>
      <c r="G43" s="406"/>
      <c r="H43" s="406"/>
      <c r="I43" s="436">
        <v>8000158</v>
      </c>
      <c r="J43" s="418"/>
      <c r="K43" s="420"/>
    </row>
    <row r="44" spans="2:17" x14ac:dyDescent="0.25">
      <c r="B44" s="276">
        <v>16</v>
      </c>
      <c r="C44" s="406" t="s">
        <v>182</v>
      </c>
      <c r="D44" s="406"/>
      <c r="E44" s="406"/>
      <c r="F44" s="406"/>
      <c r="G44" s="406"/>
      <c r="H44" s="406"/>
      <c r="I44" s="278"/>
      <c r="J44" s="270"/>
      <c r="K44" s="258">
        <v>0</v>
      </c>
    </row>
    <row r="45" spans="2:17" x14ac:dyDescent="0.25">
      <c r="B45" s="276">
        <v>17</v>
      </c>
      <c r="C45" s="265" t="s">
        <v>183</v>
      </c>
      <c r="D45" s="265"/>
      <c r="E45" s="265"/>
      <c r="F45" s="265"/>
      <c r="G45" s="265"/>
      <c r="H45" s="265"/>
      <c r="I45" s="278"/>
      <c r="J45" s="270"/>
      <c r="K45" s="285">
        <f>I43-K44</f>
        <v>8000158</v>
      </c>
    </row>
    <row r="46" spans="2:17" ht="15.75" thickBot="1" x14ac:dyDescent="0.3">
      <c r="B46" s="276"/>
      <c r="C46" s="265"/>
      <c r="D46" s="265"/>
      <c r="E46" s="265"/>
      <c r="F46" s="265"/>
      <c r="G46" s="265"/>
      <c r="H46" s="265"/>
      <c r="I46" s="278"/>
      <c r="J46" s="270"/>
      <c r="K46" s="270"/>
    </row>
    <row r="47" spans="2:17" ht="15.75" thickBot="1" x14ac:dyDescent="0.3">
      <c r="B47" s="415" t="s">
        <v>184</v>
      </c>
      <c r="C47" s="416"/>
      <c r="D47" s="416"/>
      <c r="E47" s="416"/>
      <c r="F47" s="416"/>
      <c r="G47" s="416"/>
      <c r="H47" s="416"/>
      <c r="I47" s="416"/>
      <c r="J47" s="416"/>
      <c r="K47" s="416"/>
      <c r="L47" s="264">
        <v>719918</v>
      </c>
    </row>
    <row r="48" spans="2:17" x14ac:dyDescent="0.25">
      <c r="B48" s="276">
        <v>18</v>
      </c>
      <c r="C48" s="406" t="s">
        <v>185</v>
      </c>
      <c r="D48" s="406"/>
      <c r="E48" s="406"/>
      <c r="F48" s="406"/>
      <c r="G48" s="406"/>
      <c r="H48" s="406"/>
      <c r="I48" s="284"/>
      <c r="J48" s="270"/>
      <c r="K48" s="257">
        <v>1266765.74</v>
      </c>
      <c r="L48" s="259">
        <v>0.22500000000000001</v>
      </c>
    </row>
    <row r="49" spans="2:27" x14ac:dyDescent="0.25">
      <c r="B49" s="276">
        <v>19</v>
      </c>
      <c r="C49" s="406" t="s">
        <v>186</v>
      </c>
      <c r="D49" s="406"/>
      <c r="E49" s="406"/>
      <c r="F49" s="406"/>
      <c r="G49" s="406"/>
      <c r="H49" s="406"/>
      <c r="I49" s="284"/>
      <c r="J49" s="270"/>
      <c r="K49" s="258"/>
      <c r="L49" s="264">
        <f>L47*L48</f>
        <v>161981.55000000002</v>
      </c>
    </row>
    <row r="50" spans="2:27" x14ac:dyDescent="0.25">
      <c r="B50" s="276">
        <v>20</v>
      </c>
      <c r="C50" s="265" t="s">
        <v>187</v>
      </c>
      <c r="D50" s="265"/>
      <c r="E50" s="265"/>
      <c r="F50" s="265"/>
      <c r="G50" s="265"/>
      <c r="H50" s="265"/>
      <c r="I50" s="284"/>
      <c r="J50" s="270"/>
      <c r="K50" s="285">
        <f>K48-K49</f>
        <v>1266765.74</v>
      </c>
      <c r="L50" s="264">
        <f>L49/100</f>
        <v>1619.8155000000002</v>
      </c>
    </row>
    <row r="51" spans="2:27" ht="15.75" thickBot="1" x14ac:dyDescent="0.3">
      <c r="B51" s="276"/>
      <c r="C51" s="282"/>
      <c r="D51" s="138"/>
      <c r="E51" s="138"/>
      <c r="F51" s="138"/>
      <c r="G51" s="138"/>
      <c r="H51" s="283"/>
      <c r="I51" s="278"/>
      <c r="J51" s="270"/>
      <c r="K51" s="270"/>
    </row>
    <row r="52" spans="2:27" ht="15.75" thickBot="1" x14ac:dyDescent="0.3">
      <c r="B52" s="415" t="s">
        <v>188</v>
      </c>
      <c r="C52" s="416"/>
      <c r="D52" s="416"/>
      <c r="E52" s="416"/>
      <c r="F52" s="416"/>
      <c r="G52" s="416"/>
      <c r="H52" s="416"/>
      <c r="I52" s="416"/>
      <c r="J52" s="416"/>
      <c r="K52" s="416"/>
    </row>
    <row r="53" spans="2:27" x14ac:dyDescent="0.25">
      <c r="B53" s="287">
        <v>21</v>
      </c>
      <c r="C53" s="406" t="s">
        <v>189</v>
      </c>
      <c r="D53" s="406"/>
      <c r="E53" s="406"/>
      <c r="F53" s="406"/>
      <c r="G53" s="406"/>
      <c r="H53" s="406"/>
      <c r="I53" s="284">
        <f>K53*22.5%</f>
        <v>4228804.3500000006</v>
      </c>
      <c r="J53" s="270"/>
      <c r="K53" s="257">
        <v>18794686</v>
      </c>
      <c r="O53" s="264">
        <v>2973029.9267640822</v>
      </c>
      <c r="Q53" s="258"/>
    </row>
    <row r="54" spans="2:27" x14ac:dyDescent="0.25">
      <c r="B54" s="287">
        <v>22</v>
      </c>
      <c r="C54" s="406" t="s">
        <v>186</v>
      </c>
      <c r="D54" s="406"/>
      <c r="E54" s="406"/>
      <c r="F54" s="406"/>
      <c r="G54" s="406"/>
      <c r="H54" s="406"/>
      <c r="I54" s="284">
        <f t="shared" ref="I54:I55" si="1">K54*22.5%</f>
        <v>2973029.9267640822</v>
      </c>
      <c r="J54" s="270"/>
      <c r="K54" s="258">
        <v>13213466.341173697</v>
      </c>
      <c r="O54" s="259">
        <v>0.22500000000000001</v>
      </c>
      <c r="Q54" s="260"/>
    </row>
    <row r="55" spans="2:27" x14ac:dyDescent="0.25">
      <c r="B55" s="287">
        <v>23</v>
      </c>
      <c r="C55" s="265" t="s">
        <v>190</v>
      </c>
      <c r="D55" s="265"/>
      <c r="E55" s="265"/>
      <c r="F55" s="265"/>
      <c r="G55" s="265"/>
      <c r="H55" s="265"/>
      <c r="I55" s="284">
        <f t="shared" si="1"/>
        <v>1255774.4232359182</v>
      </c>
      <c r="J55" s="270"/>
      <c r="K55" s="285">
        <f>K53-K54</f>
        <v>5581219.6588263027</v>
      </c>
      <c r="O55" s="264">
        <f>O53/O54</f>
        <v>13213466.341173697</v>
      </c>
      <c r="Q55" s="170"/>
    </row>
    <row r="56" spans="2:27" ht="15.75" thickBot="1" x14ac:dyDescent="0.3">
      <c r="B56" s="287"/>
      <c r="C56" s="265"/>
      <c r="D56" s="265"/>
      <c r="E56" s="265"/>
      <c r="F56" s="265"/>
      <c r="G56" s="265"/>
      <c r="H56" s="265"/>
      <c r="I56" s="278"/>
      <c r="J56" s="270"/>
      <c r="K56" s="270"/>
      <c r="O56" s="264">
        <f>O55/100</f>
        <v>132134.66341173698</v>
      </c>
      <c r="Q56" s="170"/>
    </row>
    <row r="57" spans="2:27" ht="15.75" thickBot="1" x14ac:dyDescent="0.3">
      <c r="B57" s="415" t="s">
        <v>191</v>
      </c>
      <c r="C57" s="416"/>
      <c r="D57" s="416"/>
      <c r="E57" s="416"/>
      <c r="F57" s="416"/>
      <c r="G57" s="416"/>
      <c r="H57" s="416"/>
      <c r="I57" s="416"/>
      <c r="J57" s="416"/>
      <c r="K57" s="416"/>
    </row>
    <row r="58" spans="2:27" s="104" customFormat="1" x14ac:dyDescent="0.25">
      <c r="B58" s="288">
        <v>24</v>
      </c>
      <c r="C58" s="406" t="s">
        <v>192</v>
      </c>
      <c r="D58" s="406"/>
      <c r="E58" s="406"/>
      <c r="F58" s="406"/>
      <c r="G58" s="406"/>
      <c r="H58" s="406"/>
      <c r="I58" s="278"/>
      <c r="J58" s="270"/>
      <c r="K58" s="257">
        <f>'[1]LEY DE INGRESOS'!C13</f>
        <v>45920944</v>
      </c>
      <c r="AA58" s="286"/>
    </row>
    <row r="59" spans="2:27" x14ac:dyDescent="0.25">
      <c r="B59" s="276">
        <v>25</v>
      </c>
      <c r="C59" s="406" t="s">
        <v>193</v>
      </c>
      <c r="D59" s="406"/>
      <c r="E59" s="406"/>
      <c r="F59" s="406"/>
      <c r="G59" s="406"/>
      <c r="H59" s="406"/>
      <c r="I59" s="278"/>
      <c r="J59" s="270"/>
      <c r="K59" s="258">
        <v>25000000</v>
      </c>
    </row>
    <row r="60" spans="2:27" x14ac:dyDescent="0.25">
      <c r="B60" s="276">
        <v>26</v>
      </c>
      <c r="C60" s="265" t="s">
        <v>194</v>
      </c>
      <c r="D60" s="265"/>
      <c r="E60" s="265"/>
      <c r="F60" s="265"/>
      <c r="G60" s="265"/>
      <c r="H60" s="265"/>
      <c r="I60" s="278"/>
      <c r="J60" s="270"/>
      <c r="K60" s="258">
        <f>K58-K59</f>
        <v>20920944</v>
      </c>
    </row>
    <row r="61" spans="2:27" x14ac:dyDescent="0.25">
      <c r="B61" s="276"/>
      <c r="C61" s="289"/>
      <c r="D61" s="265"/>
      <c r="E61" s="265"/>
      <c r="F61" s="265"/>
      <c r="G61" s="265"/>
      <c r="H61" s="290"/>
      <c r="I61" s="278"/>
      <c r="J61" s="270"/>
      <c r="K61" s="270"/>
    </row>
    <row r="62" spans="2:27" ht="15.75" thickBot="1" x14ac:dyDescent="0.3">
      <c r="B62" s="276"/>
      <c r="C62" s="289"/>
      <c r="D62" s="265"/>
      <c r="E62" s="265"/>
      <c r="F62" s="265"/>
      <c r="G62" s="265"/>
      <c r="H62" s="290"/>
      <c r="I62" s="278"/>
      <c r="J62" s="270"/>
      <c r="K62" s="270"/>
    </row>
    <row r="63" spans="2:27" ht="15.75" thickBot="1" x14ac:dyDescent="0.3">
      <c r="B63" s="415" t="s">
        <v>195</v>
      </c>
      <c r="C63" s="416"/>
      <c r="D63" s="416"/>
      <c r="E63" s="416"/>
      <c r="F63" s="416"/>
      <c r="G63" s="416"/>
      <c r="H63" s="416"/>
      <c r="I63" s="416"/>
      <c r="J63" s="416"/>
      <c r="K63" s="416"/>
    </row>
    <row r="64" spans="2:27" x14ac:dyDescent="0.25">
      <c r="B64" s="276"/>
      <c r="C64" s="406" t="s">
        <v>196</v>
      </c>
      <c r="D64" s="406"/>
      <c r="E64" s="406"/>
      <c r="F64" s="406"/>
      <c r="G64" s="406"/>
      <c r="H64" s="406"/>
      <c r="I64" s="278"/>
      <c r="J64" s="270"/>
      <c r="K64" s="257">
        <v>3844937.04</v>
      </c>
    </row>
    <row r="65" spans="2:13" x14ac:dyDescent="0.25">
      <c r="B65" s="276"/>
      <c r="C65" s="406" t="s">
        <v>197</v>
      </c>
      <c r="D65" s="406"/>
      <c r="E65" s="406"/>
      <c r="F65" s="406"/>
      <c r="G65" s="406"/>
      <c r="H65" s="406"/>
      <c r="I65" s="278"/>
      <c r="J65" s="270"/>
      <c r="K65" s="258"/>
    </row>
    <row r="66" spans="2:13" ht="15.75" thickBot="1" x14ac:dyDescent="0.3">
      <c r="B66" s="276"/>
      <c r="C66" s="265"/>
      <c r="D66" s="265"/>
      <c r="E66" s="265"/>
      <c r="F66" s="265"/>
      <c r="G66" s="265"/>
      <c r="H66" s="265"/>
      <c r="I66" s="278"/>
      <c r="J66" s="270"/>
      <c r="K66" s="258"/>
    </row>
    <row r="67" spans="2:13" x14ac:dyDescent="0.25">
      <c r="B67" s="276"/>
      <c r="C67" s="421" t="s">
        <v>198</v>
      </c>
      <c r="D67" s="422"/>
      <c r="E67" s="422"/>
      <c r="F67" s="422"/>
      <c r="G67" s="422"/>
      <c r="H67" s="422"/>
      <c r="I67" s="291">
        <f>K64*0.6</f>
        <v>2306962.2239999999</v>
      </c>
      <c r="J67" s="292">
        <f>I67*0.225</f>
        <v>519066.50040000002</v>
      </c>
      <c r="K67" s="258"/>
      <c r="M67" s="170"/>
    </row>
    <row r="68" spans="2:13" x14ac:dyDescent="0.25">
      <c r="B68" s="276"/>
      <c r="C68" s="425" t="s">
        <v>199</v>
      </c>
      <c r="D68" s="426"/>
      <c r="E68" s="426"/>
      <c r="F68" s="426"/>
      <c r="G68" s="426"/>
      <c r="H68" s="426"/>
      <c r="I68" s="291">
        <f>K64*0.3</f>
        <v>1153481.112</v>
      </c>
      <c r="J68" s="292">
        <f t="shared" ref="J68:J69" si="2">I68*0.225</f>
        <v>259533.25020000001</v>
      </c>
      <c r="K68" s="258"/>
    </row>
    <row r="69" spans="2:13" x14ac:dyDescent="0.25">
      <c r="B69" s="276"/>
      <c r="C69" s="425" t="s">
        <v>200</v>
      </c>
      <c r="D69" s="426"/>
      <c r="E69" s="426"/>
      <c r="F69" s="426"/>
      <c r="G69" s="426"/>
      <c r="H69" s="426"/>
      <c r="I69" s="291">
        <f>K64*0.1</f>
        <v>384493.70400000003</v>
      </c>
      <c r="J69" s="292">
        <f t="shared" si="2"/>
        <v>86511.083400000003</v>
      </c>
      <c r="K69" s="258"/>
    </row>
    <row r="70" spans="2:13" x14ac:dyDescent="0.25">
      <c r="B70" s="276"/>
      <c r="C70" s="425" t="s">
        <v>201</v>
      </c>
      <c r="D70" s="426"/>
      <c r="E70" s="426"/>
      <c r="F70" s="426"/>
      <c r="G70" s="426"/>
      <c r="H70" s="426"/>
      <c r="I70" s="291">
        <f>SUM(I67:I69)</f>
        <v>3844937.04</v>
      </c>
      <c r="J70" s="292">
        <f>J67+J68+J69</f>
        <v>865110.83400000003</v>
      </c>
      <c r="K70" s="258"/>
    </row>
    <row r="71" spans="2:13" ht="15.75" thickBot="1" x14ac:dyDescent="0.3">
      <c r="B71" s="276"/>
      <c r="C71" s="441"/>
      <c r="D71" s="442"/>
      <c r="E71" s="442"/>
      <c r="F71" s="442"/>
      <c r="G71" s="442"/>
      <c r="H71" s="443"/>
      <c r="I71" s="278"/>
      <c r="J71" s="270"/>
      <c r="K71" s="270"/>
    </row>
    <row r="72" spans="2:13" ht="15.75" thickBot="1" x14ac:dyDescent="0.3">
      <c r="B72" s="415" t="s">
        <v>202</v>
      </c>
      <c r="C72" s="416"/>
      <c r="D72" s="416"/>
      <c r="E72" s="416"/>
      <c r="F72" s="416"/>
      <c r="G72" s="416"/>
      <c r="H72" s="416"/>
      <c r="I72" s="416"/>
      <c r="J72" s="416"/>
      <c r="K72" s="416"/>
    </row>
    <row r="73" spans="2:13" x14ac:dyDescent="0.25">
      <c r="B73" s="276"/>
      <c r="C73" s="441"/>
      <c r="D73" s="442"/>
      <c r="E73" s="442"/>
      <c r="F73" s="442"/>
      <c r="G73" s="442"/>
      <c r="H73" s="443"/>
      <c r="I73" s="278"/>
      <c r="J73" s="270"/>
      <c r="K73" s="258"/>
    </row>
    <row r="74" spans="2:13" x14ac:dyDescent="0.25">
      <c r="B74" s="276">
        <v>27</v>
      </c>
      <c r="C74" s="406" t="s">
        <v>203</v>
      </c>
      <c r="D74" s="406"/>
      <c r="E74" s="406"/>
      <c r="F74" s="406"/>
      <c r="G74" s="406"/>
      <c r="H74" s="406"/>
      <c r="I74" s="278"/>
      <c r="J74" s="270"/>
      <c r="K74" s="258">
        <v>816484</v>
      </c>
    </row>
    <row r="75" spans="2:13" x14ac:dyDescent="0.25">
      <c r="B75" s="276"/>
      <c r="C75" s="406"/>
      <c r="D75" s="406"/>
      <c r="E75" s="406"/>
      <c r="F75" s="406"/>
      <c r="G75" s="406"/>
      <c r="H75" s="406"/>
      <c r="I75" s="278"/>
      <c r="J75" s="270"/>
      <c r="K75" s="270"/>
    </row>
    <row r="76" spans="2:13" ht="15.75" thickBot="1" x14ac:dyDescent="0.3">
      <c r="B76" s="276"/>
      <c r="C76" s="265"/>
      <c r="D76" s="265"/>
      <c r="E76" s="265"/>
      <c r="F76" s="265"/>
      <c r="G76" s="265"/>
      <c r="H76" s="265"/>
      <c r="I76" s="278"/>
      <c r="J76" s="270"/>
      <c r="K76" s="270"/>
    </row>
    <row r="77" spans="2:13" x14ac:dyDescent="0.25">
      <c r="B77" s="276"/>
      <c r="C77" s="421" t="s">
        <v>198</v>
      </c>
      <c r="D77" s="422"/>
      <c r="E77" s="422"/>
      <c r="F77" s="422"/>
      <c r="G77" s="422"/>
      <c r="H77" s="422"/>
      <c r="I77" s="291">
        <f>K74*0.6</f>
        <v>489890.39999999997</v>
      </c>
      <c r="J77" s="292">
        <f>I77*0.225</f>
        <v>110225.34</v>
      </c>
      <c r="K77" s="270"/>
    </row>
    <row r="78" spans="2:13" x14ac:dyDescent="0.25">
      <c r="B78" s="276"/>
      <c r="C78" s="425" t="s">
        <v>199</v>
      </c>
      <c r="D78" s="426"/>
      <c r="E78" s="426"/>
      <c r="F78" s="426"/>
      <c r="G78" s="426"/>
      <c r="H78" s="426"/>
      <c r="I78" s="291">
        <f>K74*0.3</f>
        <v>244945.19999999998</v>
      </c>
      <c r="J78" s="292">
        <f t="shared" ref="J78:J79" si="3">I78*0.225</f>
        <v>55112.67</v>
      </c>
      <c r="K78" s="270"/>
    </row>
    <row r="79" spans="2:13" x14ac:dyDescent="0.25">
      <c r="B79" s="276"/>
      <c r="C79" s="425" t="s">
        <v>200</v>
      </c>
      <c r="D79" s="426"/>
      <c r="E79" s="426"/>
      <c r="F79" s="426"/>
      <c r="G79" s="426"/>
      <c r="H79" s="426"/>
      <c r="I79" s="291">
        <f>K74*0.1</f>
        <v>81648.400000000009</v>
      </c>
      <c r="J79" s="292">
        <f t="shared" si="3"/>
        <v>18370.890000000003</v>
      </c>
      <c r="K79" s="270"/>
    </row>
    <row r="80" spans="2:13" x14ac:dyDescent="0.25">
      <c r="B80" s="276"/>
      <c r="C80" s="425" t="s">
        <v>201</v>
      </c>
      <c r="D80" s="426"/>
      <c r="E80" s="426"/>
      <c r="F80" s="426"/>
      <c r="G80" s="426"/>
      <c r="H80" s="426"/>
      <c r="I80" s="291">
        <f>SUM(I77:I79)</f>
        <v>816484</v>
      </c>
      <c r="J80" s="292">
        <f>J77+J78+J79</f>
        <v>183708.90000000002</v>
      </c>
      <c r="K80" s="270"/>
    </row>
    <row r="81" spans="2:34" x14ac:dyDescent="0.25">
      <c r="B81" s="276"/>
      <c r="C81" s="265"/>
      <c r="D81" s="265"/>
      <c r="E81" s="265"/>
      <c r="F81" s="265"/>
      <c r="G81" s="265"/>
      <c r="H81" s="265"/>
      <c r="I81" s="278"/>
      <c r="J81" s="270"/>
      <c r="K81" s="270"/>
    </row>
    <row r="82" spans="2:34" x14ac:dyDescent="0.25">
      <c r="B82" s="276"/>
      <c r="C82" s="282"/>
      <c r="D82" s="138"/>
      <c r="E82" s="138"/>
      <c r="F82" s="138"/>
      <c r="G82" s="138"/>
      <c r="H82" s="283"/>
      <c r="I82" s="278"/>
      <c r="J82" s="270"/>
      <c r="K82" s="270"/>
    </row>
    <row r="83" spans="2:34" x14ac:dyDescent="0.25">
      <c r="B83" s="293"/>
      <c r="C83" s="447" t="s">
        <v>95</v>
      </c>
      <c r="D83" s="448"/>
      <c r="E83" s="448"/>
      <c r="F83" s="448"/>
      <c r="G83" s="448"/>
      <c r="H83" s="449"/>
      <c r="I83" s="450"/>
      <c r="J83" s="451"/>
      <c r="K83" s="451"/>
    </row>
    <row r="84" spans="2:34" x14ac:dyDescent="0.25">
      <c r="C84" s="294"/>
      <c r="D84" s="294"/>
      <c r="E84" s="294"/>
      <c r="F84" s="294"/>
      <c r="G84" s="294"/>
      <c r="H84" s="294"/>
      <c r="I84" s="295"/>
      <c r="J84" s="295"/>
      <c r="K84" s="104"/>
    </row>
    <row r="85" spans="2:34" ht="15" customHeight="1" x14ac:dyDescent="0.25">
      <c r="C85" s="294" t="s">
        <v>204</v>
      </c>
      <c r="D85" s="294"/>
      <c r="E85" s="294"/>
      <c r="F85" s="294"/>
      <c r="G85" s="294"/>
      <c r="H85" s="294"/>
      <c r="I85" s="295"/>
      <c r="J85" s="295"/>
      <c r="K85" s="104"/>
    </row>
    <row r="86" spans="2:34" ht="14.45" customHeight="1" x14ac:dyDescent="0.25"/>
    <row r="87" spans="2:34" ht="18" customHeight="1" x14ac:dyDescent="0.25"/>
    <row r="88" spans="2:34" s="104" customFormat="1" ht="15" customHeight="1" x14ac:dyDescent="0.25">
      <c r="B88" s="296"/>
      <c r="C88" s="452" t="s">
        <v>205</v>
      </c>
      <c r="D88" s="444">
        <v>2010</v>
      </c>
      <c r="E88" s="445"/>
      <c r="F88" s="446"/>
      <c r="G88" s="444">
        <v>2011</v>
      </c>
      <c r="H88" s="445"/>
      <c r="I88" s="446"/>
      <c r="J88" s="297"/>
      <c r="K88" s="444">
        <v>2013</v>
      </c>
      <c r="L88" s="446"/>
      <c r="M88" s="297"/>
      <c r="N88" s="444">
        <v>2014</v>
      </c>
      <c r="O88" s="445"/>
      <c r="P88" s="446"/>
      <c r="Q88" s="444">
        <v>2015</v>
      </c>
      <c r="R88" s="445"/>
      <c r="S88" s="446"/>
      <c r="T88" s="444">
        <v>2016</v>
      </c>
      <c r="U88" s="445"/>
      <c r="V88" s="446"/>
      <c r="W88" s="138">
        <v>2015</v>
      </c>
      <c r="X88" s="138">
        <v>2016</v>
      </c>
      <c r="Y88" s="138"/>
      <c r="Z88" s="138"/>
      <c r="AA88" s="286"/>
    </row>
    <row r="89" spans="2:34" s="104" customFormat="1" ht="15" customHeight="1" x14ac:dyDescent="0.25">
      <c r="B89" s="296"/>
      <c r="C89" s="452"/>
      <c r="D89" s="298" t="s">
        <v>206</v>
      </c>
      <c r="E89" s="298" t="s">
        <v>207</v>
      </c>
      <c r="F89" s="298" t="s">
        <v>1</v>
      </c>
      <c r="G89" s="298" t="s">
        <v>206</v>
      </c>
      <c r="H89" s="298" t="s">
        <v>207</v>
      </c>
      <c r="I89" s="298" t="s">
        <v>1</v>
      </c>
      <c r="J89" s="298"/>
      <c r="K89" s="298" t="s">
        <v>206</v>
      </c>
      <c r="L89" s="298" t="s">
        <v>1</v>
      </c>
      <c r="M89" s="298"/>
      <c r="N89" s="298" t="s">
        <v>206</v>
      </c>
      <c r="O89" s="298" t="s">
        <v>207</v>
      </c>
      <c r="P89" s="298" t="s">
        <v>1</v>
      </c>
      <c r="Q89" s="298" t="s">
        <v>206</v>
      </c>
      <c r="R89" s="298" t="s">
        <v>207</v>
      </c>
      <c r="S89" s="298" t="s">
        <v>1</v>
      </c>
      <c r="T89" s="298" t="s">
        <v>206</v>
      </c>
      <c r="U89" s="298" t="s">
        <v>207</v>
      </c>
      <c r="V89" s="298" t="s">
        <v>1</v>
      </c>
      <c r="W89" s="138" t="s">
        <v>208</v>
      </c>
      <c r="X89" s="138" t="s">
        <v>208</v>
      </c>
      <c r="Y89" s="138"/>
      <c r="Z89" s="138"/>
      <c r="AA89" s="286"/>
    </row>
    <row r="90" spans="2:34" s="104" customFormat="1" ht="21" customHeight="1" x14ac:dyDescent="0.25">
      <c r="B90" s="296"/>
      <c r="C90" s="299" t="s">
        <v>209</v>
      </c>
      <c r="D90" s="300">
        <v>1682502</v>
      </c>
      <c r="E90" s="301">
        <v>4238017</v>
      </c>
      <c r="F90" s="302">
        <f t="shared" ref="F90:F110" si="4">D90+E90</f>
        <v>5920519</v>
      </c>
      <c r="G90" s="300">
        <v>1970081.77</v>
      </c>
      <c r="H90" s="300">
        <v>4430528</v>
      </c>
      <c r="I90" s="302">
        <f t="shared" ref="I90:I110" si="5">G90+H90</f>
        <v>6400609.7699999996</v>
      </c>
      <c r="J90" s="303">
        <f>I90/F90</f>
        <v>1.0810893048396601</v>
      </c>
      <c r="K90" s="300">
        <v>2150123</v>
      </c>
      <c r="L90" s="300">
        <f t="shared" ref="L90:L109" si="6">SUM(K90:K90)</f>
        <v>2150123</v>
      </c>
      <c r="M90" s="302" t="e">
        <f>#REF!+L90</f>
        <v>#REF!</v>
      </c>
      <c r="N90" s="300">
        <v>3921861</v>
      </c>
      <c r="O90" s="300">
        <v>6674015</v>
      </c>
      <c r="P90" s="302">
        <f t="shared" ref="P90:P109" si="7">N90+O90</f>
        <v>10595876</v>
      </c>
      <c r="Q90" s="300">
        <v>1950494</v>
      </c>
      <c r="R90" s="300">
        <v>7890356</v>
      </c>
      <c r="S90" s="302">
        <f t="shared" ref="S90:S109" si="8">Q90+R90</f>
        <v>9840850</v>
      </c>
      <c r="T90" s="300">
        <v>2477398</v>
      </c>
      <c r="U90" s="300">
        <v>7110081</v>
      </c>
      <c r="V90" s="302">
        <f t="shared" ref="V90:V109" si="9">T90+U90</f>
        <v>9587479</v>
      </c>
      <c r="W90" s="304">
        <f>S90/$S$110*100</f>
        <v>1.7082934235061225</v>
      </c>
      <c r="X90" s="304">
        <f>V90/$V$110*100</f>
        <v>1.8025064307742125</v>
      </c>
      <c r="Y90" s="304">
        <f>X90/W90</f>
        <v>1.0551503658398018</v>
      </c>
      <c r="Z90" s="304"/>
      <c r="AA90" s="305">
        <f>V90/S90</f>
        <v>0.97425313870244945</v>
      </c>
      <c r="AB90" s="104">
        <f>AA90/$AA$110*100</f>
        <v>3.9972199358074381</v>
      </c>
      <c r="AC90" s="170"/>
      <c r="AD90" s="103"/>
      <c r="AE90" s="170"/>
      <c r="AF90" s="102"/>
      <c r="AG90" s="286"/>
      <c r="AH90" s="286"/>
    </row>
    <row r="91" spans="2:34" s="104" customFormat="1" ht="21" customHeight="1" x14ac:dyDescent="0.25">
      <c r="B91" s="296"/>
      <c r="C91" s="299" t="s">
        <v>3</v>
      </c>
      <c r="D91" s="300">
        <v>1426148</v>
      </c>
      <c r="E91" s="301">
        <v>1269045.2039224801</v>
      </c>
      <c r="F91" s="302">
        <f>D91+E91</f>
        <v>2695193.2039224803</v>
      </c>
      <c r="G91" s="300">
        <v>1509150</v>
      </c>
      <c r="H91" s="300">
        <v>1369030</v>
      </c>
      <c r="I91" s="302">
        <f>G91+H91</f>
        <v>2878180</v>
      </c>
      <c r="J91" s="303">
        <f t="shared" ref="J91:J109" si="10">I91/F91</f>
        <v>1.0678937583440058</v>
      </c>
      <c r="K91" s="300">
        <v>1502301</v>
      </c>
      <c r="L91" s="300">
        <f t="shared" si="6"/>
        <v>1502301</v>
      </c>
      <c r="M91" s="302" t="e">
        <f>#REF!+L91</f>
        <v>#REF!</v>
      </c>
      <c r="N91" s="300">
        <v>1727695</v>
      </c>
      <c r="O91" s="300">
        <v>1786622</v>
      </c>
      <c r="P91" s="302">
        <f>N91+O91</f>
        <v>3514317</v>
      </c>
      <c r="Q91" s="300">
        <v>1877264</v>
      </c>
      <c r="R91" s="300">
        <v>1913057</v>
      </c>
      <c r="S91" s="302">
        <f t="shared" si="8"/>
        <v>3790321</v>
      </c>
      <c r="T91" s="300">
        <v>2240417</v>
      </c>
      <c r="U91" s="300">
        <v>1913057</v>
      </c>
      <c r="V91" s="302">
        <f t="shared" si="9"/>
        <v>4153474</v>
      </c>
      <c r="W91" s="304">
        <f t="shared" ref="W91:W109" si="11">S91/$S$110*100</f>
        <v>0.65796963039545864</v>
      </c>
      <c r="X91" s="304">
        <f t="shared" ref="X91:X109" si="12">V91/$V$110*100</f>
        <v>0.78087926920658612</v>
      </c>
      <c r="Y91" s="304">
        <f t="shared" ref="Y91:Y109" si="13">X91/W91</f>
        <v>1.186801385859185</v>
      </c>
      <c r="Z91" s="304"/>
      <c r="AA91" s="305">
        <f t="shared" ref="AA91:AA109" si="14">V91/S91</f>
        <v>1.0958106186784708</v>
      </c>
      <c r="AB91" s="104">
        <f t="shared" ref="AB91:AB109" si="15">AA91/$AA$110*100</f>
        <v>4.4959527219843416</v>
      </c>
      <c r="AC91" s="170"/>
      <c r="AD91" s="103"/>
      <c r="AE91" s="170"/>
      <c r="AF91" s="102"/>
      <c r="AG91" s="286"/>
      <c r="AH91" s="286"/>
    </row>
    <row r="92" spans="2:34" s="104" customFormat="1" ht="21" customHeight="1" x14ac:dyDescent="0.25">
      <c r="B92" s="296"/>
      <c r="C92" s="299" t="s">
        <v>4</v>
      </c>
      <c r="D92" s="300">
        <v>2556102</v>
      </c>
      <c r="E92" s="301">
        <v>1591529</v>
      </c>
      <c r="F92" s="302">
        <f t="shared" si="4"/>
        <v>4147631</v>
      </c>
      <c r="G92" s="300">
        <v>1516908</v>
      </c>
      <c r="H92" s="300">
        <v>1406499</v>
      </c>
      <c r="I92" s="302">
        <f t="shared" si="5"/>
        <v>2923407</v>
      </c>
      <c r="J92" s="303">
        <f t="shared" si="10"/>
        <v>0.70483777365922862</v>
      </c>
      <c r="K92" s="300">
        <v>1779909</v>
      </c>
      <c r="L92" s="300">
        <f t="shared" si="6"/>
        <v>1779909</v>
      </c>
      <c r="M92" s="302" t="e">
        <f>#REF!+L92</f>
        <v>#REF!</v>
      </c>
      <c r="N92" s="300">
        <v>1615790</v>
      </c>
      <c r="O92" s="300">
        <v>1575981</v>
      </c>
      <c r="P92" s="302">
        <f t="shared" si="7"/>
        <v>3191771</v>
      </c>
      <c r="Q92" s="300">
        <v>1935203</v>
      </c>
      <c r="R92" s="300">
        <v>1753984</v>
      </c>
      <c r="S92" s="302">
        <f t="shared" si="8"/>
        <v>3689187</v>
      </c>
      <c r="T92" s="300">
        <v>2030546</v>
      </c>
      <c r="U92" s="300">
        <v>1753984</v>
      </c>
      <c r="V92" s="302">
        <f t="shared" si="9"/>
        <v>3784530</v>
      </c>
      <c r="W92" s="304">
        <f t="shared" si="11"/>
        <v>0.64041357100090757</v>
      </c>
      <c r="X92" s="304">
        <f t="shared" si="12"/>
        <v>0.71151547371920498</v>
      </c>
      <c r="Y92" s="304">
        <f t="shared" si="13"/>
        <v>1.1110249781358812</v>
      </c>
      <c r="Z92" s="304"/>
      <c r="AA92" s="305">
        <f t="shared" si="14"/>
        <v>1.0258439054458339</v>
      </c>
      <c r="AB92" s="104">
        <f t="shared" si="15"/>
        <v>4.2088894015121108</v>
      </c>
      <c r="AC92" s="170"/>
      <c r="AD92" s="103"/>
      <c r="AE92" s="170"/>
      <c r="AF92" s="102"/>
      <c r="AG92" s="286"/>
      <c r="AH92" s="286"/>
    </row>
    <row r="93" spans="2:34" s="104" customFormat="1" ht="21" customHeight="1" x14ac:dyDescent="0.25">
      <c r="B93" s="296"/>
      <c r="C93" s="299" t="s">
        <v>210</v>
      </c>
      <c r="D93" s="300">
        <v>78746014</v>
      </c>
      <c r="E93" s="301">
        <v>45839494.140000001</v>
      </c>
      <c r="F93" s="302">
        <f>D93+E93</f>
        <v>124585508.14</v>
      </c>
      <c r="G93" s="300">
        <v>78848903</v>
      </c>
      <c r="H93" s="300">
        <v>64656269</v>
      </c>
      <c r="I93" s="302">
        <f>G93+H93</f>
        <v>143505172</v>
      </c>
      <c r="J93" s="303">
        <f t="shared" si="10"/>
        <v>1.1518608716411822</v>
      </c>
      <c r="K93" s="300">
        <v>88352172</v>
      </c>
      <c r="L93" s="300">
        <f t="shared" si="6"/>
        <v>88352172</v>
      </c>
      <c r="M93" s="302" t="e">
        <f>#REF!+L93</f>
        <v>#REF!</v>
      </c>
      <c r="N93" s="300">
        <v>79726602</v>
      </c>
      <c r="O93" s="300">
        <v>80464700</v>
      </c>
      <c r="P93" s="302">
        <f>N93+O93</f>
        <v>160191302</v>
      </c>
      <c r="Q93" s="300">
        <v>98152406</v>
      </c>
      <c r="R93" s="306">
        <v>101948180</v>
      </c>
      <c r="S93" s="302">
        <f t="shared" si="8"/>
        <v>200100586</v>
      </c>
      <c r="T93" s="300">
        <v>124077659</v>
      </c>
      <c r="U93" s="300">
        <v>90316627</v>
      </c>
      <c r="V93" s="302">
        <f t="shared" si="9"/>
        <v>214394286</v>
      </c>
      <c r="W93" s="304">
        <f t="shared" si="11"/>
        <v>34.735872928001264</v>
      </c>
      <c r="X93" s="304">
        <f t="shared" si="12"/>
        <v>40.307475952358871</v>
      </c>
      <c r="Y93" s="304">
        <f t="shared" si="13"/>
        <v>1.1603991077439206</v>
      </c>
      <c r="Z93" s="304"/>
      <c r="AA93" s="305">
        <f t="shared" si="14"/>
        <v>1.0714325744153492</v>
      </c>
      <c r="AB93" s="104">
        <f t="shared" si="15"/>
        <v>4.395933126815958</v>
      </c>
      <c r="AC93" s="170"/>
      <c r="AD93" s="103"/>
      <c r="AE93" s="170"/>
      <c r="AF93" s="102"/>
      <c r="AG93" s="286"/>
      <c r="AH93" s="286"/>
    </row>
    <row r="94" spans="2:34" s="104" customFormat="1" ht="21" customHeight="1" x14ac:dyDescent="0.25">
      <c r="B94" s="296"/>
      <c r="C94" s="299" t="s">
        <v>6</v>
      </c>
      <c r="D94" s="300">
        <v>10223733</v>
      </c>
      <c r="E94" s="301">
        <v>19002626</v>
      </c>
      <c r="F94" s="302">
        <f t="shared" si="4"/>
        <v>29226359</v>
      </c>
      <c r="G94" s="300">
        <v>11239004</v>
      </c>
      <c r="H94" s="300">
        <v>19033512</v>
      </c>
      <c r="I94" s="302">
        <f t="shared" si="5"/>
        <v>30272516</v>
      </c>
      <c r="J94" s="303">
        <f t="shared" si="10"/>
        <v>1.0357949821939845</v>
      </c>
      <c r="K94" s="300">
        <v>11777751</v>
      </c>
      <c r="L94" s="300">
        <f t="shared" si="6"/>
        <v>11777751</v>
      </c>
      <c r="M94" s="302" t="e">
        <f>#REF!+L94</f>
        <v>#REF!</v>
      </c>
      <c r="N94" s="300">
        <v>12923845</v>
      </c>
      <c r="O94" s="300">
        <v>22177342</v>
      </c>
      <c r="P94" s="302">
        <f t="shared" si="7"/>
        <v>35101187</v>
      </c>
      <c r="Q94" s="300">
        <v>15507321</v>
      </c>
      <c r="R94" s="300">
        <v>23101140</v>
      </c>
      <c r="S94" s="302">
        <f t="shared" si="8"/>
        <v>38608461</v>
      </c>
      <c r="T94" s="300">
        <v>13793249</v>
      </c>
      <c r="U94" s="300">
        <v>9341142</v>
      </c>
      <c r="V94" s="302">
        <f t="shared" si="9"/>
        <v>23134391</v>
      </c>
      <c r="W94" s="304">
        <f t="shared" si="11"/>
        <v>6.702122277851263</v>
      </c>
      <c r="X94" s="304">
        <f t="shared" si="12"/>
        <v>4.3494112007489205</v>
      </c>
      <c r="Y94" s="304">
        <f t="shared" si="13"/>
        <v>0.64896028756780089</v>
      </c>
      <c r="Z94" s="304"/>
      <c r="AA94" s="305">
        <f t="shared" si="14"/>
        <v>0.59920521048482089</v>
      </c>
      <c r="AB94" s="104">
        <f t="shared" si="15"/>
        <v>2.4584524471530926</v>
      </c>
      <c r="AC94" s="170"/>
      <c r="AD94" s="103"/>
      <c r="AE94" s="170"/>
      <c r="AF94" s="102"/>
      <c r="AG94" s="286"/>
      <c r="AH94" s="286"/>
    </row>
    <row r="95" spans="2:34" s="104" customFormat="1" ht="21" customHeight="1" x14ac:dyDescent="0.25">
      <c r="B95" s="296"/>
      <c r="C95" s="299" t="s">
        <v>211</v>
      </c>
      <c r="D95" s="300">
        <v>15115</v>
      </c>
      <c r="E95" s="301">
        <v>747024.60800000001</v>
      </c>
      <c r="F95" s="302">
        <f>D95+E95</f>
        <v>762139.60800000001</v>
      </c>
      <c r="G95" s="300">
        <v>15047.65</v>
      </c>
      <c r="H95" s="300">
        <v>46822</v>
      </c>
      <c r="I95" s="302">
        <f>G95+H95</f>
        <v>61869.65</v>
      </c>
      <c r="J95" s="303">
        <f t="shared" si="10"/>
        <v>8.1178893408200878E-2</v>
      </c>
      <c r="K95" s="300">
        <v>9730</v>
      </c>
      <c r="L95" s="300">
        <f t="shared" si="6"/>
        <v>9730</v>
      </c>
      <c r="M95" s="302" t="e">
        <f>#REF!+L95</f>
        <v>#REF!</v>
      </c>
      <c r="N95" s="300">
        <v>12070</v>
      </c>
      <c r="O95" s="300">
        <v>54476</v>
      </c>
      <c r="P95" s="302">
        <f>N95+O95</f>
        <v>66546</v>
      </c>
      <c r="Q95" s="300">
        <v>12163</v>
      </c>
      <c r="R95" s="300">
        <v>44395</v>
      </c>
      <c r="S95" s="302">
        <f t="shared" si="8"/>
        <v>56558</v>
      </c>
      <c r="T95" s="300">
        <v>24800</v>
      </c>
      <c r="U95" s="300">
        <v>262835</v>
      </c>
      <c r="V95" s="302">
        <f t="shared" si="9"/>
        <v>287635</v>
      </c>
      <c r="W95" s="304">
        <f t="shared" si="11"/>
        <v>9.8180197286473498E-3</v>
      </c>
      <c r="X95" s="304">
        <f t="shared" si="12"/>
        <v>5.4077191430170597E-2</v>
      </c>
      <c r="Y95" s="304">
        <f t="shared" si="13"/>
        <v>5.5079530215632326</v>
      </c>
      <c r="Z95" s="304"/>
      <c r="AA95" s="305">
        <f t="shared" si="14"/>
        <v>5.0856642738427809</v>
      </c>
      <c r="AB95" s="104">
        <f t="shared" si="15"/>
        <v>20.865746092747909</v>
      </c>
      <c r="AC95" s="170"/>
      <c r="AD95" s="103"/>
      <c r="AE95" s="170"/>
      <c r="AF95" s="102"/>
      <c r="AG95" s="286"/>
      <c r="AH95" s="286"/>
    </row>
    <row r="96" spans="2:34" s="104" customFormat="1" ht="21" customHeight="1" x14ac:dyDescent="0.25">
      <c r="B96" s="296"/>
      <c r="C96" s="299" t="s">
        <v>8</v>
      </c>
      <c r="D96" s="300">
        <v>39804</v>
      </c>
      <c r="E96" s="301">
        <v>70181</v>
      </c>
      <c r="F96" s="302">
        <f>D96+E96</f>
        <v>109985</v>
      </c>
      <c r="G96" s="300">
        <v>11353.99</v>
      </c>
      <c r="H96" s="300">
        <v>108200</v>
      </c>
      <c r="I96" s="302">
        <f>G96+H96</f>
        <v>119553.99</v>
      </c>
      <c r="J96" s="303">
        <f t="shared" si="10"/>
        <v>1.0870026821839343</v>
      </c>
      <c r="K96" s="300">
        <v>13924</v>
      </c>
      <c r="L96" s="300">
        <f t="shared" si="6"/>
        <v>13924</v>
      </c>
      <c r="M96" s="302" t="e">
        <f>#REF!+L96</f>
        <v>#REF!</v>
      </c>
      <c r="N96" s="300">
        <v>20381</v>
      </c>
      <c r="O96" s="300">
        <v>180121</v>
      </c>
      <c r="P96" s="302">
        <f>N96+O96</f>
        <v>200502</v>
      </c>
      <c r="Q96" s="300">
        <v>13691</v>
      </c>
      <c r="R96" s="300">
        <v>68199</v>
      </c>
      <c r="S96" s="302">
        <f t="shared" si="8"/>
        <v>81890</v>
      </c>
      <c r="T96" s="300">
        <v>13729</v>
      </c>
      <c r="U96" s="300">
        <v>48772</v>
      </c>
      <c r="V96" s="302">
        <f t="shared" si="9"/>
        <v>62501</v>
      </c>
      <c r="W96" s="304">
        <f t="shared" si="11"/>
        <v>1.421545379219441E-2</v>
      </c>
      <c r="X96" s="304">
        <f t="shared" si="12"/>
        <v>1.1750581610642281E-2</v>
      </c>
      <c r="Y96" s="304">
        <f t="shared" si="13"/>
        <v>0.82660615569616425</v>
      </c>
      <c r="Z96" s="304"/>
      <c r="AA96" s="305">
        <f t="shared" si="14"/>
        <v>0.76323116375625843</v>
      </c>
      <c r="AB96" s="104">
        <f t="shared" si="15"/>
        <v>3.131427246371731</v>
      </c>
      <c r="AC96" s="170"/>
      <c r="AD96" s="103"/>
      <c r="AE96" s="170"/>
      <c r="AF96" s="102"/>
      <c r="AG96" s="286"/>
      <c r="AH96" s="286"/>
    </row>
    <row r="97" spans="2:34" s="104" customFormat="1" ht="21" customHeight="1" x14ac:dyDescent="0.25">
      <c r="B97" s="296"/>
      <c r="C97" s="299" t="s">
        <v>9</v>
      </c>
      <c r="D97" s="300">
        <v>3802609</v>
      </c>
      <c r="E97" s="301">
        <v>3607111</v>
      </c>
      <c r="F97" s="302">
        <f t="shared" si="4"/>
        <v>7409720</v>
      </c>
      <c r="G97" s="300">
        <v>5015719</v>
      </c>
      <c r="H97" s="300">
        <v>3584924</v>
      </c>
      <c r="I97" s="302">
        <f t="shared" si="5"/>
        <v>8600643</v>
      </c>
      <c r="J97" s="303">
        <f t="shared" si="10"/>
        <v>1.1607244268339425</v>
      </c>
      <c r="K97" s="300">
        <v>4905326</v>
      </c>
      <c r="L97" s="300">
        <f t="shared" si="6"/>
        <v>4905326</v>
      </c>
      <c r="M97" s="302" t="e">
        <f>#REF!+L97</f>
        <v>#REF!</v>
      </c>
      <c r="N97" s="300">
        <v>5150592</v>
      </c>
      <c r="O97" s="300">
        <v>6038696</v>
      </c>
      <c r="P97" s="302">
        <f t="shared" si="7"/>
        <v>11189288</v>
      </c>
      <c r="Q97" s="300">
        <v>4506594</v>
      </c>
      <c r="R97" s="300">
        <v>4804367</v>
      </c>
      <c r="S97" s="302">
        <f t="shared" si="8"/>
        <v>9310961</v>
      </c>
      <c r="T97" s="300">
        <v>9586556</v>
      </c>
      <c r="U97" s="300">
        <v>4804367</v>
      </c>
      <c r="V97" s="302">
        <f t="shared" si="9"/>
        <v>14390923</v>
      </c>
      <c r="W97" s="304">
        <f t="shared" si="11"/>
        <v>1.6163089004325832</v>
      </c>
      <c r="X97" s="304">
        <f t="shared" si="12"/>
        <v>2.7055841532770524</v>
      </c>
      <c r="Y97" s="304">
        <f t="shared" si="13"/>
        <v>1.6739276462271162</v>
      </c>
      <c r="Z97" s="304"/>
      <c r="AA97" s="305">
        <f t="shared" si="14"/>
        <v>1.5455894402307131</v>
      </c>
      <c r="AB97" s="104">
        <f t="shared" si="15"/>
        <v>6.3413302740721589</v>
      </c>
      <c r="AC97" s="170"/>
      <c r="AD97" s="103"/>
      <c r="AE97" s="170"/>
      <c r="AF97" s="102"/>
      <c r="AG97" s="286"/>
      <c r="AH97" s="286"/>
    </row>
    <row r="98" spans="2:34" s="104" customFormat="1" ht="21" customHeight="1" x14ac:dyDescent="0.25">
      <c r="B98" s="296"/>
      <c r="C98" s="299" t="s">
        <v>10</v>
      </c>
      <c r="D98" s="300">
        <v>679452.26649999991</v>
      </c>
      <c r="E98" s="301">
        <v>979732.52173799998</v>
      </c>
      <c r="F98" s="302">
        <f t="shared" si="4"/>
        <v>1659184.7882379999</v>
      </c>
      <c r="G98" s="300">
        <v>709042</v>
      </c>
      <c r="H98" s="300">
        <v>1116169</v>
      </c>
      <c r="I98" s="302">
        <f t="shared" si="5"/>
        <v>1825211</v>
      </c>
      <c r="J98" s="303">
        <f t="shared" si="10"/>
        <v>1.1000649312475403</v>
      </c>
      <c r="K98" s="300">
        <v>1148288</v>
      </c>
      <c r="L98" s="300">
        <f t="shared" si="6"/>
        <v>1148288</v>
      </c>
      <c r="M98" s="302" t="e">
        <f>#REF!+L98</f>
        <v>#REF!</v>
      </c>
      <c r="N98" s="300">
        <v>794901</v>
      </c>
      <c r="O98" s="300">
        <v>1849197</v>
      </c>
      <c r="P98" s="302">
        <f t="shared" si="7"/>
        <v>2644098</v>
      </c>
      <c r="Q98" s="300">
        <v>1289975</v>
      </c>
      <c r="R98" s="300">
        <v>1892408</v>
      </c>
      <c r="S98" s="302">
        <f t="shared" si="8"/>
        <v>3182383</v>
      </c>
      <c r="T98" s="300">
        <v>1708915</v>
      </c>
      <c r="U98" s="300">
        <v>2497404</v>
      </c>
      <c r="V98" s="302">
        <f t="shared" si="9"/>
        <v>4206319</v>
      </c>
      <c r="W98" s="304">
        <f t="shared" si="11"/>
        <v>0.55243642063212872</v>
      </c>
      <c r="X98" s="304">
        <f t="shared" si="12"/>
        <v>0.79081446200693162</v>
      </c>
      <c r="Y98" s="304">
        <f t="shared" si="13"/>
        <v>1.4315031241098068</v>
      </c>
      <c r="Z98" s="304"/>
      <c r="AA98" s="305">
        <f t="shared" si="14"/>
        <v>1.3217513416832607</v>
      </c>
      <c r="AB98" s="104">
        <f t="shared" si="15"/>
        <v>5.422954880282056</v>
      </c>
      <c r="AC98" s="170"/>
      <c r="AD98" s="103"/>
      <c r="AE98" s="170"/>
      <c r="AF98" s="102"/>
      <c r="AG98" s="286"/>
      <c r="AH98" s="286"/>
    </row>
    <row r="99" spans="2:34" s="104" customFormat="1" ht="21" customHeight="1" x14ac:dyDescent="0.25">
      <c r="B99" s="296"/>
      <c r="C99" s="299" t="s">
        <v>11</v>
      </c>
      <c r="D99" s="300">
        <v>490919.83199999999</v>
      </c>
      <c r="E99" s="301">
        <v>305440</v>
      </c>
      <c r="F99" s="302">
        <f>D99+E99</f>
        <v>796359.83199999994</v>
      </c>
      <c r="G99" s="300">
        <v>501773</v>
      </c>
      <c r="H99" s="300">
        <v>254381</v>
      </c>
      <c r="I99" s="302">
        <f>G99+H99</f>
        <v>756154</v>
      </c>
      <c r="J99" s="303">
        <f t="shared" si="10"/>
        <v>0.94951298347252655</v>
      </c>
      <c r="K99" s="300">
        <v>339560</v>
      </c>
      <c r="L99" s="300">
        <f t="shared" si="6"/>
        <v>339560</v>
      </c>
      <c r="M99" s="302" t="e">
        <f>#REF!+L99</f>
        <v>#REF!</v>
      </c>
      <c r="N99" s="300">
        <v>410354</v>
      </c>
      <c r="O99" s="300">
        <v>126366</v>
      </c>
      <c r="P99" s="302">
        <f>N99+O99</f>
        <v>536720</v>
      </c>
      <c r="Q99" s="300">
        <v>443737</v>
      </c>
      <c r="R99" s="300">
        <v>138204</v>
      </c>
      <c r="S99" s="302">
        <f t="shared" si="8"/>
        <v>581941</v>
      </c>
      <c r="T99" s="300">
        <v>419998</v>
      </c>
      <c r="U99" s="300">
        <v>199300</v>
      </c>
      <c r="V99" s="302">
        <f t="shared" si="9"/>
        <v>619298</v>
      </c>
      <c r="W99" s="304">
        <f t="shared" si="11"/>
        <v>0.10102033697989261</v>
      </c>
      <c r="X99" s="304">
        <f t="shared" si="12"/>
        <v>0.11643192413413456</v>
      </c>
      <c r="Y99" s="304">
        <f t="shared" si="13"/>
        <v>1.1525592530671276</v>
      </c>
      <c r="Z99" s="304"/>
      <c r="AA99" s="305">
        <f t="shared" si="14"/>
        <v>1.0641937928415424</v>
      </c>
      <c r="AB99" s="104">
        <f t="shared" si="15"/>
        <v>4.3662334513739953</v>
      </c>
      <c r="AC99" s="170"/>
      <c r="AD99" s="103"/>
      <c r="AE99" s="170"/>
      <c r="AF99" s="102"/>
      <c r="AG99" s="286"/>
      <c r="AH99" s="286"/>
    </row>
    <row r="100" spans="2:34" s="104" customFormat="1" ht="21" customHeight="1" x14ac:dyDescent="0.25">
      <c r="B100" s="296"/>
      <c r="C100" s="299" t="s">
        <v>12</v>
      </c>
      <c r="D100" s="300">
        <v>751355</v>
      </c>
      <c r="E100" s="301">
        <v>540322</v>
      </c>
      <c r="F100" s="302">
        <f t="shared" si="4"/>
        <v>1291677</v>
      </c>
      <c r="G100" s="300">
        <v>833122.71</v>
      </c>
      <c r="H100" s="300">
        <v>449768</v>
      </c>
      <c r="I100" s="302">
        <f t="shared" si="5"/>
        <v>1282890.71</v>
      </c>
      <c r="J100" s="303">
        <f t="shared" si="10"/>
        <v>0.99319776538561877</v>
      </c>
      <c r="K100" s="300">
        <v>735142</v>
      </c>
      <c r="L100" s="300">
        <f t="shared" si="6"/>
        <v>735142</v>
      </c>
      <c r="M100" s="302" t="e">
        <f>#REF!+L100</f>
        <v>#REF!</v>
      </c>
      <c r="N100" s="300">
        <v>769102</v>
      </c>
      <c r="O100" s="300">
        <v>908222</v>
      </c>
      <c r="P100" s="302">
        <f t="shared" si="7"/>
        <v>1677324</v>
      </c>
      <c r="Q100" s="300">
        <v>1147352</v>
      </c>
      <c r="R100" s="300">
        <v>972752</v>
      </c>
      <c r="S100" s="302">
        <f t="shared" si="8"/>
        <v>2120104</v>
      </c>
      <c r="T100" s="300">
        <v>1144848</v>
      </c>
      <c r="U100" s="300">
        <v>674614</v>
      </c>
      <c r="V100" s="302">
        <f t="shared" si="9"/>
        <v>1819462</v>
      </c>
      <c r="W100" s="304">
        <f t="shared" si="11"/>
        <v>0.36803322074302769</v>
      </c>
      <c r="X100" s="304">
        <f t="shared" si="12"/>
        <v>0.34207031437036889</v>
      </c>
      <c r="Y100" s="304">
        <f t="shared" si="13"/>
        <v>0.92945499235030493</v>
      </c>
      <c r="Z100" s="304"/>
      <c r="AA100" s="305">
        <f t="shared" si="14"/>
        <v>0.85819469233584766</v>
      </c>
      <c r="AB100" s="104">
        <f t="shared" si="15"/>
        <v>3.5210488904123212</v>
      </c>
      <c r="AC100" s="170"/>
      <c r="AD100" s="103"/>
      <c r="AE100" s="170"/>
      <c r="AF100" s="102"/>
      <c r="AG100" s="286"/>
      <c r="AH100" s="286"/>
    </row>
    <row r="101" spans="2:34" s="104" customFormat="1" ht="21" customHeight="1" x14ac:dyDescent="0.25">
      <c r="B101" s="296"/>
      <c r="C101" s="299" t="s">
        <v>13</v>
      </c>
      <c r="D101" s="300">
        <v>359295</v>
      </c>
      <c r="E101" s="301">
        <v>1815345</v>
      </c>
      <c r="F101" s="302">
        <f t="shared" si="4"/>
        <v>2174640</v>
      </c>
      <c r="G101" s="300">
        <v>355184</v>
      </c>
      <c r="H101" s="300">
        <v>1292100</v>
      </c>
      <c r="I101" s="302">
        <f t="shared" si="5"/>
        <v>1647284</v>
      </c>
      <c r="J101" s="303">
        <f t="shared" si="10"/>
        <v>0.75749733289188093</v>
      </c>
      <c r="K101" s="300">
        <v>491666</v>
      </c>
      <c r="L101" s="300">
        <f t="shared" si="6"/>
        <v>491666</v>
      </c>
      <c r="M101" s="302" t="e">
        <f>#REF!+L101</f>
        <v>#REF!</v>
      </c>
      <c r="N101" s="300">
        <v>316115</v>
      </c>
      <c r="O101" s="300">
        <v>1194112</v>
      </c>
      <c r="P101" s="302">
        <f t="shared" si="7"/>
        <v>1510227</v>
      </c>
      <c r="Q101" s="300">
        <v>398116</v>
      </c>
      <c r="R101" s="300">
        <v>5740941</v>
      </c>
      <c r="S101" s="302">
        <f t="shared" si="8"/>
        <v>6139057</v>
      </c>
      <c r="T101" s="300">
        <v>401966</v>
      </c>
      <c r="U101" s="300">
        <v>1491792</v>
      </c>
      <c r="V101" s="302">
        <f t="shared" si="9"/>
        <v>1893758</v>
      </c>
      <c r="W101" s="304">
        <f t="shared" si="11"/>
        <v>1.0656915509970404</v>
      </c>
      <c r="X101" s="304">
        <f t="shared" si="12"/>
        <v>0.35603843026202314</v>
      </c>
      <c r="Y101" s="304">
        <f t="shared" si="13"/>
        <v>0.33409144506111593</v>
      </c>
      <c r="Z101" s="304"/>
      <c r="AA101" s="305">
        <f t="shared" si="14"/>
        <v>0.30847701853884074</v>
      </c>
      <c r="AB101" s="104">
        <f t="shared" si="15"/>
        <v>1.2656366597741961</v>
      </c>
      <c r="AC101" s="170"/>
      <c r="AD101" s="103"/>
      <c r="AE101" s="170"/>
      <c r="AF101" s="102"/>
      <c r="AG101" s="286"/>
      <c r="AH101" s="286"/>
    </row>
    <row r="102" spans="2:34" s="104" customFormat="1" ht="21" customHeight="1" x14ac:dyDescent="0.25">
      <c r="B102" s="296"/>
      <c r="C102" s="299" t="s">
        <v>14</v>
      </c>
      <c r="D102" s="300">
        <v>1867043</v>
      </c>
      <c r="E102" s="301">
        <v>2195979</v>
      </c>
      <c r="F102" s="302">
        <f t="shared" si="4"/>
        <v>4063022</v>
      </c>
      <c r="G102" s="300">
        <v>1773965</v>
      </c>
      <c r="H102" s="300">
        <v>1766959</v>
      </c>
      <c r="I102" s="302">
        <f t="shared" si="5"/>
        <v>3540924</v>
      </c>
      <c r="J102" s="303">
        <f t="shared" si="10"/>
        <v>0.87150008048196637</v>
      </c>
      <c r="K102" s="300">
        <v>1956037</v>
      </c>
      <c r="L102" s="300">
        <f t="shared" si="6"/>
        <v>1956037</v>
      </c>
      <c r="M102" s="302" t="e">
        <f>#REF!+L102</f>
        <v>#REF!</v>
      </c>
      <c r="N102" s="300">
        <v>2071561</v>
      </c>
      <c r="O102" s="300">
        <v>1423012</v>
      </c>
      <c r="P102" s="302">
        <f t="shared" si="7"/>
        <v>3494573</v>
      </c>
      <c r="Q102" s="300">
        <v>2401077</v>
      </c>
      <c r="R102" s="300">
        <v>1952300</v>
      </c>
      <c r="S102" s="302">
        <f t="shared" si="8"/>
        <v>4353377</v>
      </c>
      <c r="T102" s="300">
        <v>2492004</v>
      </c>
      <c r="U102" s="300">
        <v>1508514</v>
      </c>
      <c r="V102" s="302">
        <f t="shared" si="9"/>
        <v>4000518</v>
      </c>
      <c r="W102" s="304">
        <f t="shared" si="11"/>
        <v>0.75571168132252931</v>
      </c>
      <c r="X102" s="304">
        <f t="shared" si="12"/>
        <v>0.75212257794024795</v>
      </c>
      <c r="Y102" s="304">
        <f t="shared" si="13"/>
        <v>0.99525069749351991</v>
      </c>
      <c r="Z102" s="304"/>
      <c r="AA102" s="305">
        <f t="shared" si="14"/>
        <v>0.9189459125639704</v>
      </c>
      <c r="AB102" s="104">
        <f t="shared" si="15"/>
        <v>3.7703023739000927</v>
      </c>
      <c r="AC102" s="170"/>
      <c r="AD102" s="103"/>
      <c r="AE102" s="170"/>
      <c r="AF102" s="102"/>
      <c r="AG102" s="286"/>
      <c r="AH102" s="286"/>
    </row>
    <row r="103" spans="2:34" s="104" customFormat="1" ht="21" customHeight="1" x14ac:dyDescent="0.25">
      <c r="B103" s="296"/>
      <c r="C103" s="299" t="s">
        <v>212</v>
      </c>
      <c r="D103" s="300">
        <v>587111</v>
      </c>
      <c r="E103" s="301">
        <v>404106.06761000003</v>
      </c>
      <c r="F103" s="302">
        <f>D103+E103</f>
        <v>991217.06761000003</v>
      </c>
      <c r="G103" s="300">
        <v>627237.49</v>
      </c>
      <c r="H103" s="300">
        <v>442866</v>
      </c>
      <c r="I103" s="302">
        <f>G103+H103</f>
        <v>1070103.49</v>
      </c>
      <c r="J103" s="303">
        <f t="shared" si="10"/>
        <v>1.079585415715459</v>
      </c>
      <c r="K103" s="300">
        <v>822739</v>
      </c>
      <c r="L103" s="300">
        <f t="shared" si="6"/>
        <v>822739</v>
      </c>
      <c r="M103" s="302" t="e">
        <f>#REF!+L103</f>
        <v>#REF!</v>
      </c>
      <c r="N103" s="300">
        <v>663523</v>
      </c>
      <c r="O103" s="300">
        <v>449690</v>
      </c>
      <c r="P103" s="302">
        <f>N103+O103</f>
        <v>1113213</v>
      </c>
      <c r="Q103" s="300">
        <v>820443</v>
      </c>
      <c r="R103" s="300">
        <v>455623</v>
      </c>
      <c r="S103" s="302">
        <f t="shared" si="8"/>
        <v>1276066</v>
      </c>
      <c r="T103" s="300">
        <v>779421</v>
      </c>
      <c r="U103" s="300">
        <v>439921</v>
      </c>
      <c r="V103" s="302">
        <f t="shared" si="9"/>
        <v>1219342</v>
      </c>
      <c r="W103" s="304">
        <f t="shared" si="11"/>
        <v>0.22151492561717367</v>
      </c>
      <c r="X103" s="304">
        <f t="shared" si="12"/>
        <v>0.22924397501294028</v>
      </c>
      <c r="Y103" s="304">
        <f t="shared" si="13"/>
        <v>1.0348917770404513</v>
      </c>
      <c r="Z103" s="304"/>
      <c r="AA103" s="305">
        <f t="shared" si="14"/>
        <v>0.95554775379956836</v>
      </c>
      <c r="AB103" s="104">
        <f t="shared" si="15"/>
        <v>3.9204744428030951</v>
      </c>
      <c r="AC103" s="170"/>
      <c r="AD103" s="103"/>
      <c r="AE103" s="170"/>
      <c r="AF103" s="102"/>
      <c r="AG103" s="286"/>
      <c r="AH103" s="286"/>
    </row>
    <row r="104" spans="2:34" s="104" customFormat="1" ht="21" customHeight="1" x14ac:dyDescent="0.25">
      <c r="B104" s="296"/>
      <c r="C104" s="299" t="s">
        <v>213</v>
      </c>
      <c r="D104" s="300">
        <v>1034790</v>
      </c>
      <c r="E104" s="301">
        <v>1930723.26</v>
      </c>
      <c r="F104" s="302">
        <f t="shared" si="4"/>
        <v>2965513.26</v>
      </c>
      <c r="G104" s="300">
        <v>1086831.6499999999</v>
      </c>
      <c r="H104" s="300">
        <v>967094</v>
      </c>
      <c r="I104" s="302">
        <f t="shared" si="5"/>
        <v>2053925.65</v>
      </c>
      <c r="J104" s="303">
        <f t="shared" si="10"/>
        <v>0.69260376532593892</v>
      </c>
      <c r="K104" s="300">
        <v>1094653</v>
      </c>
      <c r="L104" s="300">
        <f t="shared" si="6"/>
        <v>1094653</v>
      </c>
      <c r="M104" s="302" t="e">
        <f>#REF!+L104</f>
        <v>#REF!</v>
      </c>
      <c r="N104" s="300">
        <v>1253849</v>
      </c>
      <c r="O104" s="300">
        <v>940495</v>
      </c>
      <c r="P104" s="302">
        <f t="shared" si="7"/>
        <v>2194344</v>
      </c>
      <c r="Q104" s="300">
        <v>1597920</v>
      </c>
      <c r="R104" s="300">
        <v>940466</v>
      </c>
      <c r="S104" s="302">
        <f t="shared" si="8"/>
        <v>2538386</v>
      </c>
      <c r="T104" s="300">
        <v>1947699</v>
      </c>
      <c r="U104" s="300">
        <v>2366954</v>
      </c>
      <c r="V104" s="302">
        <f t="shared" si="9"/>
        <v>4314653</v>
      </c>
      <c r="W104" s="304">
        <f t="shared" si="11"/>
        <v>0.44064365477778972</v>
      </c>
      <c r="X104" s="304">
        <f t="shared" si="12"/>
        <v>0.81118193625866075</v>
      </c>
      <c r="Y104" s="304">
        <f t="shared" si="13"/>
        <v>1.840902342432976</v>
      </c>
      <c r="Z104" s="304"/>
      <c r="AA104" s="305">
        <f t="shared" si="14"/>
        <v>1.699762368686244</v>
      </c>
      <c r="AB104" s="104">
        <f t="shared" si="15"/>
        <v>6.9738795353504202</v>
      </c>
      <c r="AC104" s="170"/>
      <c r="AD104" s="103"/>
      <c r="AE104" s="170"/>
      <c r="AF104" s="102"/>
      <c r="AG104" s="286"/>
      <c r="AH104" s="286"/>
    </row>
    <row r="105" spans="2:34" s="104" customFormat="1" ht="21" customHeight="1" x14ac:dyDescent="0.25">
      <c r="B105" s="296"/>
      <c r="C105" s="299" t="s">
        <v>16</v>
      </c>
      <c r="D105" s="300">
        <v>3445369.4415000002</v>
      </c>
      <c r="E105" s="301">
        <v>7876143</v>
      </c>
      <c r="F105" s="302">
        <f t="shared" si="4"/>
        <v>11321512.441500001</v>
      </c>
      <c r="G105" s="300">
        <v>3855604</v>
      </c>
      <c r="H105" s="300">
        <v>8804594</v>
      </c>
      <c r="I105" s="302">
        <f t="shared" si="5"/>
        <v>12660198</v>
      </c>
      <c r="J105" s="303">
        <f t="shared" si="10"/>
        <v>1.1182426434115755</v>
      </c>
      <c r="K105" s="300">
        <v>4866806</v>
      </c>
      <c r="L105" s="300">
        <f t="shared" si="6"/>
        <v>4866806</v>
      </c>
      <c r="M105" s="302" t="e">
        <f>#REF!+L105</f>
        <v>#REF!</v>
      </c>
      <c r="N105" s="300">
        <v>5539545</v>
      </c>
      <c r="O105" s="300">
        <v>8664084</v>
      </c>
      <c r="P105" s="302">
        <f t="shared" si="7"/>
        <v>14203629</v>
      </c>
      <c r="Q105" s="300">
        <v>3479641</v>
      </c>
      <c r="R105" s="300">
        <v>9070244</v>
      </c>
      <c r="S105" s="302">
        <f t="shared" si="8"/>
        <v>12549885</v>
      </c>
      <c r="T105" s="300">
        <v>4175631</v>
      </c>
      <c r="U105" s="300">
        <v>11054340</v>
      </c>
      <c r="V105" s="302">
        <f t="shared" si="9"/>
        <v>15229971</v>
      </c>
      <c r="W105" s="304">
        <f t="shared" si="11"/>
        <v>2.1785603897283399</v>
      </c>
      <c r="X105" s="304">
        <f t="shared" si="12"/>
        <v>2.8633304613240629</v>
      </c>
      <c r="Y105" s="304">
        <f t="shared" si="13"/>
        <v>1.3143222812754398</v>
      </c>
      <c r="Z105" s="304"/>
      <c r="AA105" s="305">
        <f t="shared" si="14"/>
        <v>1.2135546261977699</v>
      </c>
      <c r="AB105" s="104">
        <f t="shared" si="15"/>
        <v>4.9790393813764089</v>
      </c>
      <c r="AC105" s="170"/>
      <c r="AD105" s="103"/>
      <c r="AE105" s="170"/>
      <c r="AF105" s="102"/>
      <c r="AG105" s="286"/>
      <c r="AH105" s="286"/>
    </row>
    <row r="106" spans="2:34" s="104" customFormat="1" ht="21" customHeight="1" x14ac:dyDescent="0.25">
      <c r="B106" s="296"/>
      <c r="C106" s="299" t="s">
        <v>17</v>
      </c>
      <c r="D106" s="300">
        <v>1263023</v>
      </c>
      <c r="E106" s="301">
        <v>1192004</v>
      </c>
      <c r="F106" s="302">
        <f t="shared" si="4"/>
        <v>2455027</v>
      </c>
      <c r="G106" s="300">
        <v>1110492</v>
      </c>
      <c r="H106" s="300">
        <v>1122164</v>
      </c>
      <c r="I106" s="302">
        <f t="shared" si="5"/>
        <v>2232656</v>
      </c>
      <c r="J106" s="303">
        <f t="shared" si="10"/>
        <v>0.90942217743430109</v>
      </c>
      <c r="K106" s="300">
        <v>1658234</v>
      </c>
      <c r="L106" s="300">
        <f t="shared" si="6"/>
        <v>1658234</v>
      </c>
      <c r="M106" s="302" t="e">
        <f>#REF!+L106</f>
        <v>#REF!</v>
      </c>
      <c r="N106" s="300">
        <v>7245605</v>
      </c>
      <c r="O106" s="300">
        <v>2154134</v>
      </c>
      <c r="P106" s="302">
        <f t="shared" si="7"/>
        <v>9399739</v>
      </c>
      <c r="Q106" s="300">
        <v>10124268</v>
      </c>
      <c r="R106" s="300">
        <v>2195063</v>
      </c>
      <c r="S106" s="302">
        <f t="shared" si="8"/>
        <v>12319331</v>
      </c>
      <c r="T106" s="300">
        <v>9857632</v>
      </c>
      <c r="U106" s="300">
        <v>1690991</v>
      </c>
      <c r="V106" s="302">
        <f t="shared" si="9"/>
        <v>11548623</v>
      </c>
      <c r="W106" s="304">
        <f t="shared" si="11"/>
        <v>2.1385380459304941</v>
      </c>
      <c r="X106" s="304">
        <f t="shared" si="12"/>
        <v>2.1712138534109933</v>
      </c>
      <c r="Y106" s="304">
        <f t="shared" si="13"/>
        <v>1.0152795072047838</v>
      </c>
      <c r="Z106" s="304"/>
      <c r="AA106" s="305">
        <f t="shared" si="14"/>
        <v>0.93743913529070699</v>
      </c>
      <c r="AB106" s="104">
        <f t="shared" si="15"/>
        <v>3.8461773961341401</v>
      </c>
      <c r="AC106" s="170"/>
      <c r="AD106" s="103"/>
      <c r="AE106" s="170"/>
      <c r="AF106" s="102"/>
      <c r="AG106" s="286"/>
      <c r="AH106" s="286"/>
    </row>
    <row r="107" spans="2:34" s="104" customFormat="1" ht="21" customHeight="1" x14ac:dyDescent="0.25">
      <c r="B107" s="296"/>
      <c r="C107" s="299" t="s">
        <v>18</v>
      </c>
      <c r="D107" s="300">
        <v>38607672.27335</v>
      </c>
      <c r="E107" s="301">
        <v>102423063.05140001</v>
      </c>
      <c r="F107" s="302">
        <f>D107+E107</f>
        <v>141030735.32475001</v>
      </c>
      <c r="G107" s="300">
        <v>38794615</v>
      </c>
      <c r="H107" s="300">
        <v>103320484</v>
      </c>
      <c r="I107" s="302">
        <f>G107+H107</f>
        <v>142115099</v>
      </c>
      <c r="J107" s="303">
        <f t="shared" si="10"/>
        <v>1.0076888464968508</v>
      </c>
      <c r="K107" s="300">
        <v>54217860</v>
      </c>
      <c r="L107" s="300">
        <f t="shared" si="6"/>
        <v>54217860</v>
      </c>
      <c r="M107" s="302" t="e">
        <f>#REF!+L107</f>
        <v>#REF!</v>
      </c>
      <c r="N107" s="300">
        <v>55997783</v>
      </c>
      <c r="O107" s="300">
        <v>119764263</v>
      </c>
      <c r="P107" s="302">
        <f>N107+O107</f>
        <v>175762046</v>
      </c>
      <c r="Q107" s="300">
        <v>61230587</v>
      </c>
      <c r="R107" s="300">
        <v>175087263</v>
      </c>
      <c r="S107" s="302">
        <f t="shared" si="8"/>
        <v>236317850</v>
      </c>
      <c r="T107" s="300">
        <v>54315284</v>
      </c>
      <c r="U107" s="300">
        <v>132307345</v>
      </c>
      <c r="V107" s="302">
        <f t="shared" si="9"/>
        <v>186622629</v>
      </c>
      <c r="W107" s="304">
        <f t="shared" si="11"/>
        <v>41.022902392791913</v>
      </c>
      <c r="X107" s="304">
        <f t="shared" si="12"/>
        <v>35.086229539641238</v>
      </c>
      <c r="Y107" s="304">
        <f t="shared" si="13"/>
        <v>0.85528393880307696</v>
      </c>
      <c r="Z107" s="304"/>
      <c r="AA107" s="305">
        <f t="shared" si="14"/>
        <v>0.78971025252641724</v>
      </c>
      <c r="AB107" s="104">
        <f t="shared" si="15"/>
        <v>3.240067123739804</v>
      </c>
      <c r="AC107" s="170"/>
      <c r="AD107" s="103"/>
      <c r="AE107" s="170"/>
      <c r="AF107" s="102"/>
      <c r="AG107" s="286"/>
      <c r="AH107" s="286"/>
    </row>
    <row r="108" spans="2:34" s="104" customFormat="1" ht="21" customHeight="1" x14ac:dyDescent="0.25">
      <c r="B108" s="296"/>
      <c r="C108" s="299" t="s">
        <v>19</v>
      </c>
      <c r="D108" s="300">
        <v>1053724</v>
      </c>
      <c r="E108" s="301">
        <v>1760700</v>
      </c>
      <c r="F108" s="302">
        <f t="shared" si="4"/>
        <v>2814424</v>
      </c>
      <c r="G108" s="300">
        <v>974443</v>
      </c>
      <c r="H108" s="300">
        <v>1955033</v>
      </c>
      <c r="I108" s="302">
        <f t="shared" si="5"/>
        <v>2929476</v>
      </c>
      <c r="J108" s="303">
        <f t="shared" si="10"/>
        <v>1.0408794126258161</v>
      </c>
      <c r="K108" s="300">
        <v>1147813</v>
      </c>
      <c r="L108" s="300">
        <f t="shared" si="6"/>
        <v>1147813</v>
      </c>
      <c r="M108" s="302" t="e">
        <f>#REF!+L108</f>
        <v>#REF!</v>
      </c>
      <c r="N108" s="300">
        <v>940511</v>
      </c>
      <c r="O108" s="300">
        <v>2266380</v>
      </c>
      <c r="P108" s="302">
        <f t="shared" si="7"/>
        <v>3206891</v>
      </c>
      <c r="Q108" s="300">
        <v>680921</v>
      </c>
      <c r="R108" s="300">
        <v>835671</v>
      </c>
      <c r="S108" s="302">
        <f t="shared" si="8"/>
        <v>1516592</v>
      </c>
      <c r="T108" s="300">
        <v>830670</v>
      </c>
      <c r="U108" s="300">
        <v>835671</v>
      </c>
      <c r="V108" s="302">
        <f t="shared" si="9"/>
        <v>1666341</v>
      </c>
      <c r="W108" s="304">
        <f t="shared" si="11"/>
        <v>0.26326832943719264</v>
      </c>
      <c r="X108" s="304">
        <f t="shared" si="12"/>
        <v>0.31328260206491532</v>
      </c>
      <c r="Y108" s="304">
        <f t="shared" si="13"/>
        <v>1.1899745128274326</v>
      </c>
      <c r="Z108" s="304"/>
      <c r="AA108" s="305">
        <f t="shared" si="14"/>
        <v>1.0987404654646735</v>
      </c>
      <c r="AB108" s="104">
        <f t="shared" si="15"/>
        <v>4.5079734602477748</v>
      </c>
      <c r="AC108" s="170"/>
      <c r="AD108" s="103"/>
      <c r="AE108" s="170"/>
      <c r="AF108" s="102"/>
      <c r="AG108" s="286"/>
      <c r="AH108" s="286"/>
    </row>
    <row r="109" spans="2:34" s="104" customFormat="1" ht="21" customHeight="1" x14ac:dyDescent="0.25">
      <c r="B109" s="296"/>
      <c r="C109" s="299" t="s">
        <v>20</v>
      </c>
      <c r="D109" s="300">
        <v>4668675</v>
      </c>
      <c r="E109" s="301">
        <v>9408641</v>
      </c>
      <c r="F109" s="302">
        <f t="shared" si="4"/>
        <v>14077316</v>
      </c>
      <c r="G109" s="300">
        <v>5684224</v>
      </c>
      <c r="H109" s="300">
        <v>11342255</v>
      </c>
      <c r="I109" s="302">
        <f t="shared" si="5"/>
        <v>17026479</v>
      </c>
      <c r="J109" s="303">
        <f t="shared" si="10"/>
        <v>1.2094975348994084</v>
      </c>
      <c r="K109" s="300">
        <v>8848537</v>
      </c>
      <c r="L109" s="300">
        <f t="shared" si="6"/>
        <v>8848537</v>
      </c>
      <c r="M109" s="302" t="e">
        <f>#REF!+L109</f>
        <v>#REF!</v>
      </c>
      <c r="N109" s="300">
        <v>8044787</v>
      </c>
      <c r="O109" s="300">
        <v>16525376</v>
      </c>
      <c r="P109" s="302">
        <f t="shared" si="7"/>
        <v>24570163</v>
      </c>
      <c r="Q109" s="300">
        <v>9498957</v>
      </c>
      <c r="R109" s="300">
        <v>18190471</v>
      </c>
      <c r="S109" s="302">
        <f t="shared" si="8"/>
        <v>27689428</v>
      </c>
      <c r="T109" s="300">
        <v>11151231</v>
      </c>
      <c r="U109" s="300">
        <v>17809712</v>
      </c>
      <c r="V109" s="302">
        <f t="shared" si="9"/>
        <v>28960943</v>
      </c>
      <c r="W109" s="304">
        <f t="shared" si="11"/>
        <v>4.8066648463340345</v>
      </c>
      <c r="X109" s="304">
        <f t="shared" si="12"/>
        <v>5.4448396704478217</v>
      </c>
      <c r="Y109" s="304">
        <f t="shared" si="13"/>
        <v>1.1327687376831594</v>
      </c>
      <c r="Z109" s="304"/>
      <c r="AA109" s="305">
        <f t="shared" si="14"/>
        <v>1.0459205946760619</v>
      </c>
      <c r="AB109" s="104">
        <f t="shared" si="15"/>
        <v>4.2912611581409461</v>
      </c>
      <c r="AC109" s="170"/>
      <c r="AD109" s="103"/>
      <c r="AE109" s="170"/>
      <c r="AF109" s="102"/>
      <c r="AG109" s="286"/>
      <c r="AH109" s="286"/>
    </row>
    <row r="110" spans="2:34" s="104" customFormat="1" ht="21" customHeight="1" x14ac:dyDescent="0.3">
      <c r="B110" s="296"/>
      <c r="C110" s="307" t="s">
        <v>95</v>
      </c>
      <c r="D110" s="302">
        <f>SUM(D90:D109)</f>
        <v>153300456.81334999</v>
      </c>
      <c r="E110" s="302">
        <f>SUM(E90:E109)</f>
        <v>207197226.85267049</v>
      </c>
      <c r="F110" s="302">
        <f t="shared" si="4"/>
        <v>360497683.66602051</v>
      </c>
      <c r="G110" s="302">
        <f>SUM(G90:G109)</f>
        <v>156432701.25999999</v>
      </c>
      <c r="H110" s="302">
        <f>SUM(H90:H109)</f>
        <v>227469651</v>
      </c>
      <c r="I110" s="302">
        <f t="shared" si="5"/>
        <v>383902352.25999999</v>
      </c>
      <c r="J110" s="303"/>
      <c r="K110" s="302">
        <f>SUM(K90:K109)</f>
        <v>187818571</v>
      </c>
      <c r="L110" s="302">
        <f>SUM(L90:L109)</f>
        <v>187818571</v>
      </c>
      <c r="M110" s="302" t="e">
        <f>#REF!+L110</f>
        <v>#REF!</v>
      </c>
      <c r="N110" s="302">
        <f>SUM(N90:N109)</f>
        <v>189146472</v>
      </c>
      <c r="O110" s="302">
        <f>SUM(O90:O109)</f>
        <v>275217284</v>
      </c>
      <c r="P110" s="302">
        <f>N110+O110</f>
        <v>464363756</v>
      </c>
      <c r="Q110" s="302">
        <f>SUM(Q90:Q109)</f>
        <v>217068130</v>
      </c>
      <c r="R110" s="302">
        <f t="shared" ref="R110:S110" si="16">SUM(R90:R109)</f>
        <v>358995084</v>
      </c>
      <c r="S110" s="302">
        <f t="shared" si="16"/>
        <v>576063214</v>
      </c>
      <c r="T110" s="308">
        <f>SUM(T90:T109)</f>
        <v>243469653</v>
      </c>
      <c r="U110" s="308">
        <v>288427422.80000001</v>
      </c>
      <c r="V110" s="308">
        <f>SUM(V90:V109)</f>
        <v>531897076</v>
      </c>
      <c r="W110" s="309">
        <f>SUM(W90:W109)</f>
        <v>99.999999999999986</v>
      </c>
      <c r="X110" s="309">
        <f t="shared" ref="X110:AB110" si="17">SUM(X90:X109)</f>
        <v>100</v>
      </c>
      <c r="Y110" s="309">
        <f t="shared" si="17"/>
        <v>26.3971055579823</v>
      </c>
      <c r="Z110" s="309"/>
      <c r="AA110" s="304">
        <f t="shared" si="17"/>
        <v>24.373268280161582</v>
      </c>
      <c r="AB110" s="304">
        <f t="shared" si="17"/>
        <v>99.999999999999986</v>
      </c>
      <c r="AC110" s="170"/>
      <c r="AD110" s="103"/>
      <c r="AE110" s="170"/>
      <c r="AG110" s="286"/>
    </row>
    <row r="111" spans="2:34" s="104" customFormat="1" ht="15" customHeight="1" x14ac:dyDescent="0.25">
      <c r="B111" s="296"/>
      <c r="I111" s="310"/>
      <c r="J111" s="310"/>
      <c r="Q111" s="306">
        <v>217068128</v>
      </c>
      <c r="R111" s="306">
        <v>358995084</v>
      </c>
      <c r="T111" s="306">
        <v>243469654</v>
      </c>
      <c r="U111" s="102">
        <v>288427423</v>
      </c>
      <c r="V111" s="102"/>
      <c r="W111" s="102"/>
      <c r="X111" s="102"/>
      <c r="Y111" s="102"/>
      <c r="Z111" s="102"/>
      <c r="AA111" s="305"/>
      <c r="AG111" s="286"/>
    </row>
    <row r="112" spans="2:34" s="104" customFormat="1" ht="15" customHeight="1" x14ac:dyDescent="0.25">
      <c r="B112" s="296"/>
      <c r="I112" s="310"/>
      <c r="J112" s="310"/>
      <c r="Q112" s="306">
        <v>217068129</v>
      </c>
      <c r="R112" s="306">
        <v>332231694</v>
      </c>
      <c r="T112" s="306">
        <v>243469654</v>
      </c>
      <c r="U112" s="311">
        <v>288427423</v>
      </c>
      <c r="AA112" s="286"/>
    </row>
    <row r="113" spans="2:27" s="104" customFormat="1" x14ac:dyDescent="0.25">
      <c r="B113" s="296"/>
      <c r="I113" s="310"/>
      <c r="J113" s="310"/>
      <c r="Q113" s="102">
        <f>Q110-Q112</f>
        <v>1</v>
      </c>
      <c r="R113" s="102">
        <f t="shared" ref="R113:U113" si="18">R110-R112</f>
        <v>26763390</v>
      </c>
      <c r="S113" s="102"/>
      <c r="T113" s="102">
        <f t="shared" si="18"/>
        <v>-1</v>
      </c>
      <c r="U113" s="102">
        <f t="shared" si="18"/>
        <v>-0.19999998807907104</v>
      </c>
      <c r="AA113" s="286"/>
    </row>
    <row r="114" spans="2:27" x14ac:dyDescent="0.25">
      <c r="S114" s="170"/>
    </row>
    <row r="115" spans="2:27" x14ac:dyDescent="0.25">
      <c r="S115" s="170"/>
    </row>
    <row r="116" spans="2:27" ht="18" x14ac:dyDescent="0.25">
      <c r="S116" s="300"/>
    </row>
  </sheetData>
  <mergeCells count="79">
    <mergeCell ref="N88:P88"/>
    <mergeCell ref="Q88:S88"/>
    <mergeCell ref="T88:V88"/>
    <mergeCell ref="C79:H79"/>
    <mergeCell ref="C80:H80"/>
    <mergeCell ref="C83:H83"/>
    <mergeCell ref="I83:K83"/>
    <mergeCell ref="C88:C89"/>
    <mergeCell ref="D88:F88"/>
    <mergeCell ref="G88:I88"/>
    <mergeCell ref="K88:L88"/>
    <mergeCell ref="C78:H78"/>
    <mergeCell ref="C65:H65"/>
    <mergeCell ref="C67:H67"/>
    <mergeCell ref="C68:H68"/>
    <mergeCell ref="C69:H69"/>
    <mergeCell ref="C70:H70"/>
    <mergeCell ref="C71:H71"/>
    <mergeCell ref="B72:K72"/>
    <mergeCell ref="C73:H73"/>
    <mergeCell ref="C74:H74"/>
    <mergeCell ref="C75:H75"/>
    <mergeCell ref="C77:H77"/>
    <mergeCell ref="C64:H64"/>
    <mergeCell ref="C44:H44"/>
    <mergeCell ref="B47:K47"/>
    <mergeCell ref="C48:H48"/>
    <mergeCell ref="C49:H49"/>
    <mergeCell ref="B52:K52"/>
    <mergeCell ref="C53:H53"/>
    <mergeCell ref="C54:H54"/>
    <mergeCell ref="B57:K57"/>
    <mergeCell ref="C58:H58"/>
    <mergeCell ref="C59:H59"/>
    <mergeCell ref="B63:K63"/>
    <mergeCell ref="C43:H43"/>
    <mergeCell ref="I43:K43"/>
    <mergeCell ref="C29:H29"/>
    <mergeCell ref="C30:H30"/>
    <mergeCell ref="B32:K32"/>
    <mergeCell ref="B37:K37"/>
    <mergeCell ref="C38:H38"/>
    <mergeCell ref="I38:K38"/>
    <mergeCell ref="C39:H39"/>
    <mergeCell ref="B42:K42"/>
    <mergeCell ref="L32:M32"/>
    <mergeCell ref="C33:H33"/>
    <mergeCell ref="C34:H34"/>
    <mergeCell ref="C22:H22"/>
    <mergeCell ref="C23:H23"/>
    <mergeCell ref="C25:H25"/>
    <mergeCell ref="C26:H26"/>
    <mergeCell ref="C27:H27"/>
    <mergeCell ref="C28:H28"/>
    <mergeCell ref="B21:K21"/>
    <mergeCell ref="C15:H15"/>
    <mergeCell ref="I15:K15"/>
    <mergeCell ref="C16:H16"/>
    <mergeCell ref="I16:K16"/>
    <mergeCell ref="C17:H17"/>
    <mergeCell ref="I17:K17"/>
    <mergeCell ref="C18:H18"/>
    <mergeCell ref="C19:H19"/>
    <mergeCell ref="I19:K19"/>
    <mergeCell ref="C20:H20"/>
    <mergeCell ref="I20:K20"/>
    <mergeCell ref="C12:H12"/>
    <mergeCell ref="I12:K12"/>
    <mergeCell ref="C13:H13"/>
    <mergeCell ref="I13:K13"/>
    <mergeCell ref="C14:H14"/>
    <mergeCell ref="I14:K14"/>
    <mergeCell ref="C10:H10"/>
    <mergeCell ref="I10:K10"/>
    <mergeCell ref="C4:K4"/>
    <mergeCell ref="B5:K5"/>
    <mergeCell ref="B6:H6"/>
    <mergeCell ref="B8:K8"/>
    <mergeCell ref="C9:H9"/>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D33"/>
  <sheetViews>
    <sheetView topLeftCell="A4" zoomScale="90" zoomScaleNormal="90" workbookViewId="0">
      <selection activeCell="B32" sqref="B32:S32"/>
    </sheetView>
  </sheetViews>
  <sheetFormatPr baseColWidth="10" defaultRowHeight="15" x14ac:dyDescent="0.25"/>
  <cols>
    <col min="1" max="1" width="2.77734375" style="75" customWidth="1"/>
    <col min="2" max="2" width="22.5546875" style="75" customWidth="1"/>
    <col min="3" max="3" width="23.77734375" style="75" customWidth="1"/>
    <col min="4" max="16384" width="11.5546875" style="75"/>
  </cols>
  <sheetData>
    <row r="2" spans="2:4" x14ac:dyDescent="0.25">
      <c r="B2" s="73"/>
      <c r="C2" s="73"/>
    </row>
    <row r="3" spans="2:4" x14ac:dyDescent="0.25">
      <c r="B3" s="453" t="s">
        <v>214</v>
      </c>
      <c r="C3" s="453"/>
    </row>
    <row r="4" spans="2:4" x14ac:dyDescent="0.25">
      <c r="B4" s="453"/>
      <c r="C4" s="453"/>
    </row>
    <row r="5" spans="2:4" ht="15.75" thickBot="1" x14ac:dyDescent="0.3">
      <c r="B5" s="76"/>
      <c r="C5" s="76"/>
    </row>
    <row r="6" spans="2:4" ht="15" customHeight="1" x14ac:dyDescent="0.25">
      <c r="B6" s="391" t="s">
        <v>98</v>
      </c>
      <c r="C6" s="391" t="s">
        <v>215</v>
      </c>
    </row>
    <row r="7" spans="2:4" x14ac:dyDescent="0.25">
      <c r="B7" s="392"/>
      <c r="C7" s="394"/>
    </row>
    <row r="8" spans="2:4" x14ac:dyDescent="0.25">
      <c r="B8" s="392"/>
      <c r="C8" s="394"/>
    </row>
    <row r="9" spans="2:4" ht="15.75" thickBot="1" x14ac:dyDescent="0.3">
      <c r="B9" s="393"/>
      <c r="C9" s="395"/>
    </row>
    <row r="10" spans="2:4" ht="24" customHeight="1" x14ac:dyDescent="0.25">
      <c r="B10" s="312" t="s">
        <v>75</v>
      </c>
      <c r="C10" s="313">
        <v>36572</v>
      </c>
      <c r="D10" s="314"/>
    </row>
    <row r="11" spans="2:4" ht="24" customHeight="1" x14ac:dyDescent="0.25">
      <c r="B11" s="312" t="s">
        <v>76</v>
      </c>
      <c r="C11" s="315">
        <v>15229</v>
      </c>
      <c r="D11" s="314"/>
    </row>
    <row r="12" spans="2:4" ht="24" customHeight="1" x14ac:dyDescent="0.25">
      <c r="B12" s="312" t="s">
        <v>77</v>
      </c>
      <c r="C12" s="316">
        <v>11188</v>
      </c>
      <c r="D12" s="314"/>
    </row>
    <row r="13" spans="2:4" ht="24" customHeight="1" x14ac:dyDescent="0.25">
      <c r="B13" s="312" t="s">
        <v>78</v>
      </c>
      <c r="C13" s="316">
        <v>124205</v>
      </c>
      <c r="D13" s="314"/>
    </row>
    <row r="14" spans="2:4" ht="24" customHeight="1" x14ac:dyDescent="0.25">
      <c r="B14" s="312" t="s">
        <v>79</v>
      </c>
      <c r="C14" s="316">
        <v>70399</v>
      </c>
      <c r="D14" s="314"/>
    </row>
    <row r="15" spans="2:4" ht="24" customHeight="1" x14ac:dyDescent="0.25">
      <c r="B15" s="312" t="s">
        <v>80</v>
      </c>
      <c r="C15" s="316">
        <v>34300</v>
      </c>
      <c r="D15" s="314"/>
    </row>
    <row r="16" spans="2:4" ht="24" customHeight="1" x14ac:dyDescent="0.25">
      <c r="B16" s="312" t="s">
        <v>81</v>
      </c>
      <c r="C16" s="316">
        <v>11400</v>
      </c>
      <c r="D16" s="314"/>
    </row>
    <row r="17" spans="2:4" ht="24" customHeight="1" x14ac:dyDescent="0.25">
      <c r="B17" s="312" t="s">
        <v>82</v>
      </c>
      <c r="C17" s="316">
        <v>27273</v>
      </c>
      <c r="D17" s="314"/>
    </row>
    <row r="18" spans="2:4" ht="24" customHeight="1" x14ac:dyDescent="0.25">
      <c r="B18" s="312" t="s">
        <v>83</v>
      </c>
      <c r="C18" s="316">
        <v>17698</v>
      </c>
      <c r="D18" s="314"/>
    </row>
    <row r="19" spans="2:4" ht="24" customHeight="1" x14ac:dyDescent="0.25">
      <c r="B19" s="312" t="s">
        <v>84</v>
      </c>
      <c r="C19" s="316">
        <v>13600</v>
      </c>
      <c r="D19" s="314"/>
    </row>
    <row r="20" spans="2:4" ht="24" customHeight="1" x14ac:dyDescent="0.25">
      <c r="B20" s="312" t="s">
        <v>85</v>
      </c>
      <c r="C20" s="316">
        <v>34393</v>
      </c>
      <c r="D20" s="314"/>
    </row>
    <row r="21" spans="2:4" ht="24" customHeight="1" x14ac:dyDescent="0.25">
      <c r="B21" s="312" t="s">
        <v>86</v>
      </c>
      <c r="C21" s="316">
        <v>23469</v>
      </c>
      <c r="D21" s="314"/>
    </row>
    <row r="22" spans="2:4" ht="24" customHeight="1" x14ac:dyDescent="0.25">
      <c r="B22" s="312" t="s">
        <v>87</v>
      </c>
      <c r="C22" s="316">
        <v>43120</v>
      </c>
      <c r="D22" s="314"/>
    </row>
    <row r="23" spans="2:4" ht="24" customHeight="1" x14ac:dyDescent="0.25">
      <c r="B23" s="312" t="s">
        <v>88</v>
      </c>
      <c r="C23" s="316">
        <v>7510</v>
      </c>
      <c r="D23" s="314"/>
    </row>
    <row r="24" spans="2:4" ht="24" customHeight="1" x14ac:dyDescent="0.25">
      <c r="B24" s="312" t="s">
        <v>89</v>
      </c>
      <c r="C24" s="316">
        <v>22412</v>
      </c>
      <c r="D24" s="314"/>
    </row>
    <row r="25" spans="2:4" ht="24" customHeight="1" x14ac:dyDescent="0.25">
      <c r="B25" s="312" t="s">
        <v>90</v>
      </c>
      <c r="C25" s="316">
        <v>93074</v>
      </c>
      <c r="D25" s="314"/>
    </row>
    <row r="26" spans="2:4" ht="24" customHeight="1" x14ac:dyDescent="0.25">
      <c r="B26" s="312" t="s">
        <v>91</v>
      </c>
      <c r="C26" s="316">
        <v>39756</v>
      </c>
      <c r="D26" s="314"/>
    </row>
    <row r="27" spans="2:4" ht="24" customHeight="1" x14ac:dyDescent="0.25">
      <c r="B27" s="312" t="s">
        <v>92</v>
      </c>
      <c r="C27" s="316">
        <v>380249</v>
      </c>
      <c r="D27" s="314"/>
    </row>
    <row r="28" spans="2:4" ht="24" customHeight="1" x14ac:dyDescent="0.25">
      <c r="B28" s="312" t="s">
        <v>93</v>
      </c>
      <c r="C28" s="316">
        <v>30030</v>
      </c>
      <c r="D28" s="314"/>
    </row>
    <row r="29" spans="2:4" ht="24" customHeight="1" thickBot="1" x14ac:dyDescent="0.3">
      <c r="B29" s="312" t="s">
        <v>94</v>
      </c>
      <c r="C29" s="316">
        <v>49102</v>
      </c>
      <c r="D29" s="314"/>
    </row>
    <row r="30" spans="2:4" ht="24" customHeight="1" thickBot="1" x14ac:dyDescent="0.3">
      <c r="B30" s="317" t="s">
        <v>95</v>
      </c>
      <c r="C30" s="318">
        <f>SUM(C10:C29)</f>
        <v>1084979</v>
      </c>
    </row>
    <row r="31" spans="2:4" x14ac:dyDescent="0.25">
      <c r="B31" s="73"/>
      <c r="C31" s="73"/>
    </row>
    <row r="32" spans="2:4" x14ac:dyDescent="0.25">
      <c r="B32" s="73" t="s">
        <v>216</v>
      </c>
      <c r="C32" s="73"/>
    </row>
    <row r="33" spans="2:2" x14ac:dyDescent="0.25">
      <c r="B33" s="212" t="s">
        <v>217</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PROVISIONALES</vt:lpstr>
      <vt:lpstr>DEFINITIVAS</vt:lpstr>
      <vt:lpstr>SALDO AJUSTES</vt:lpstr>
      <vt:lpstr>FGP</vt:lpstr>
      <vt:lpstr>FFM</vt:lpstr>
      <vt:lpstr>IEPS TyA</vt:lpstr>
      <vt:lpstr>FOFIR</vt:lpstr>
      <vt:lpstr>Datos</vt:lpstr>
      <vt:lpstr>CENSO (2)</vt:lpstr>
      <vt:lpstr>Datos!Área_de_impresión</vt:lpstr>
      <vt:lpstr>FFM!Área_de_impresión</vt:lpstr>
      <vt:lpstr>FGP!Área_de_impresión</vt:lpstr>
      <vt:lpstr>FOFIR!Área_de_impresión</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2018-06-08T15:59:37Z</cp:lastPrinted>
  <dcterms:created xsi:type="dcterms:W3CDTF">2015-06-09T18:03:51Z</dcterms:created>
  <dcterms:modified xsi:type="dcterms:W3CDTF">2018-06-20T18:57:09Z</dcterms:modified>
</cp:coreProperties>
</file>